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drawings/drawing7.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8.xml" ContentType="application/vnd.openxmlformats-officedocument.drawing+xml"/>
  <Override PartName="/xl/comments3.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hidePivotFieldList="1" autoCompressPictures="0"/>
  <mc:AlternateContent xmlns:mc="http://schemas.openxmlformats.org/markup-compatibility/2006">
    <mc:Choice Requires="x15">
      <x15ac:absPath xmlns:x15ac="http://schemas.microsoft.com/office/spreadsheetml/2010/11/ac" url="https://westofenglandca-my.sharepoint.com/personal/chris_grainger_westofengland-ca_gov_uk/Documents/Documents/"/>
    </mc:Choice>
  </mc:AlternateContent>
  <xr:revisionPtr revIDLastSave="3" documentId="8_{1911206C-595A-47AE-9FBA-194A42B9652B}" xr6:coauthVersionLast="46" xr6:coauthVersionMax="46" xr10:uidLastSave="{FE57EFF2-C5CF-4E79-9C06-5F71A469DE32}"/>
  <bookViews>
    <workbookView xWindow="24" yWindow="24" windowWidth="23016" windowHeight="12336" tabRatio="826" xr2:uid="{00000000-000D-0000-FFFF-FFFF00000000}"/>
  </bookViews>
  <sheets>
    <sheet name="Index" sheetId="151" r:id="rId1"/>
    <sheet name="User guide" sheetId="154" r:id="rId2"/>
    <sheet name="Global assumptions" sheetId="141" r:id="rId3"/>
    <sheet name="Costs (by site)" sheetId="104" r:id="rId4"/>
    <sheet name="Energy generation (by site)" sheetId="148" r:id="rId5"/>
    <sheet name="Revenue sensitivities" sheetId="106" r:id="rId6"/>
    <sheet name="Cash Flow Model" sheetId="107" r:id="rId7"/>
    <sheet name="Results (Community modelling)" sheetId="153" r:id="rId8"/>
    <sheet name="Results (LA modelling)" sheetId="156" r:id="rId9"/>
    <sheet name="Model Results - tables (draft)" sheetId="123" r:id="rId10"/>
    <sheet name="Loan Rates" sheetId="140" r:id="rId11"/>
    <sheet name="Price indexing" sheetId="128" r:id="rId12"/>
    <sheet name="Irradiance Data (MCS)" sheetId="152" r:id="rId13"/>
  </sheets>
  <externalReferences>
    <externalReference r:id="rId14"/>
  </externalReferences>
  <definedNames>
    <definedName name="_ftn1" localSheetId="9">'Model Results - tables (draft)'!#REF!</definedName>
    <definedName name="Location">[1]Lists!$A$2:$A$26</definedName>
    <definedName name="Orientation">[1]Lists!$B$2:$B$4</definedName>
    <definedName name="_xlnm.Print_Area" localSheetId="7">'Results (Community modelling)'!$A$1:$W$99</definedName>
    <definedName name="_xlnm.Print_Area" localSheetId="8">'Results (LA modelling)'!$A$1:$J$53</definedName>
  </definedNames>
  <calcPr calcId="191029" calcMode="autoNoTable"/>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P44" i="123" l="1"/>
  <c r="AR72" i="123"/>
  <c r="AH90" i="123"/>
  <c r="AI104" i="123"/>
  <c r="AJ117" i="123"/>
  <c r="AM5" i="123"/>
  <c r="X4" i="123"/>
  <c r="W4" i="123"/>
  <c r="W5" i="123"/>
  <c r="AA5" i="123" s="1"/>
  <c r="W17" i="123"/>
  <c r="AB17" i="123" s="1"/>
  <c r="W29" i="123"/>
  <c r="AC29" i="123" s="1"/>
  <c r="W41" i="123"/>
  <c r="AD41" i="123" s="1"/>
  <c r="W53" i="123"/>
  <c r="AE53" i="123" s="1"/>
  <c r="W65" i="123"/>
  <c r="AF65" i="123" s="1"/>
  <c r="W77" i="123"/>
  <c r="AG77" i="123" s="1"/>
  <c r="W89" i="123"/>
  <c r="AH89" i="123" s="1"/>
  <c r="W101" i="123"/>
  <c r="AI101" i="123" s="1"/>
  <c r="W113" i="123"/>
  <c r="AJ113" i="123" s="1"/>
  <c r="W6" i="123"/>
  <c r="AA6" i="123" s="1"/>
  <c r="W18" i="123"/>
  <c r="AB18" i="123" s="1"/>
  <c r="W30" i="123"/>
  <c r="AC30" i="123" s="1"/>
  <c r="W42" i="123"/>
  <c r="AD42" i="123" s="1"/>
  <c r="W54" i="123"/>
  <c r="AE54" i="123" s="1"/>
  <c r="W66" i="123"/>
  <c r="AF66" i="123" s="1"/>
  <c r="W78" i="123"/>
  <c r="AG78" i="123" s="1"/>
  <c r="W90" i="123"/>
  <c r="W102" i="123"/>
  <c r="AI102" i="123" s="1"/>
  <c r="W114" i="123"/>
  <c r="AJ114" i="123" s="1"/>
  <c r="W7" i="123"/>
  <c r="AA7" i="123" s="1"/>
  <c r="W19" i="123"/>
  <c r="AB19" i="123" s="1"/>
  <c r="W31" i="123"/>
  <c r="AC31" i="123" s="1"/>
  <c r="W43" i="123"/>
  <c r="AD43" i="123" s="1"/>
  <c r="W55" i="123"/>
  <c r="AE55" i="123" s="1"/>
  <c r="W67" i="123"/>
  <c r="AF67" i="123" s="1"/>
  <c r="W79" i="123"/>
  <c r="AG79" i="123" s="1"/>
  <c r="W91" i="123"/>
  <c r="AH91" i="123" s="1"/>
  <c r="W103" i="123"/>
  <c r="AI103" i="123" s="1"/>
  <c r="W115" i="123"/>
  <c r="AJ115" i="123" s="1"/>
  <c r="W8" i="123"/>
  <c r="AA8" i="123" s="1"/>
  <c r="W20" i="123"/>
  <c r="AB20" i="123" s="1"/>
  <c r="W32" i="123"/>
  <c r="AC32" i="123" s="1"/>
  <c r="W44" i="123"/>
  <c r="AD44" i="123" s="1"/>
  <c r="W56" i="123"/>
  <c r="AE56" i="123" s="1"/>
  <c r="W68" i="123"/>
  <c r="AF68" i="123" s="1"/>
  <c r="W80" i="123"/>
  <c r="AG80" i="123" s="1"/>
  <c r="W92" i="123"/>
  <c r="AH92" i="123" s="1"/>
  <c r="W104" i="123"/>
  <c r="W116" i="123"/>
  <c r="AJ116" i="123" s="1"/>
  <c r="W9" i="123"/>
  <c r="AA9" i="123" s="1"/>
  <c r="W21" i="123"/>
  <c r="AB21" i="123" s="1"/>
  <c r="W33" i="123"/>
  <c r="AC33" i="123" s="1"/>
  <c r="W45" i="123"/>
  <c r="AD45" i="123" s="1"/>
  <c r="W57" i="123"/>
  <c r="AE57" i="123" s="1"/>
  <c r="W69" i="123"/>
  <c r="AF69" i="123" s="1"/>
  <c r="W81" i="123"/>
  <c r="AG81" i="123" s="1"/>
  <c r="W93" i="123"/>
  <c r="AH93" i="123" s="1"/>
  <c r="W105" i="123"/>
  <c r="AI105" i="123" s="1"/>
  <c r="W117" i="123"/>
  <c r="W10" i="123"/>
  <c r="AA10" i="123" s="1"/>
  <c r="W22" i="123"/>
  <c r="AB22" i="123" s="1"/>
  <c r="W34" i="123"/>
  <c r="AC34" i="123" s="1"/>
  <c r="W46" i="123"/>
  <c r="AD46" i="123" s="1"/>
  <c r="W58" i="123"/>
  <c r="AE58" i="123" s="1"/>
  <c r="W70" i="123"/>
  <c r="AF70" i="123" s="1"/>
  <c r="W82" i="123"/>
  <c r="AG82" i="123" s="1"/>
  <c r="W94" i="123"/>
  <c r="AH94" i="123" s="1"/>
  <c r="W106" i="123"/>
  <c r="AI106" i="123" s="1"/>
  <c r="W118" i="123"/>
  <c r="AJ118" i="123" s="1"/>
  <c r="W11" i="123"/>
  <c r="AA11" i="123" s="1"/>
  <c r="W23" i="123"/>
  <c r="AB23" i="123" s="1"/>
  <c r="W35" i="123"/>
  <c r="AC35" i="123" s="1"/>
  <c r="W47" i="123"/>
  <c r="AD47" i="123" s="1"/>
  <c r="W59" i="123"/>
  <c r="AE59" i="123" s="1"/>
  <c r="W71" i="123"/>
  <c r="AF71" i="123" s="1"/>
  <c r="W83" i="123"/>
  <c r="AG83" i="123" s="1"/>
  <c r="W95" i="123"/>
  <c r="AH95" i="123" s="1"/>
  <c r="W107" i="123"/>
  <c r="AI107" i="123" s="1"/>
  <c r="W119" i="123"/>
  <c r="AJ119" i="123" s="1"/>
  <c r="W12" i="123"/>
  <c r="AA12" i="123" s="1"/>
  <c r="W24" i="123"/>
  <c r="AB24" i="123" s="1"/>
  <c r="W36" i="123"/>
  <c r="AC36" i="123" s="1"/>
  <c r="W48" i="123"/>
  <c r="AD48" i="123" s="1"/>
  <c r="W60" i="123"/>
  <c r="AE60" i="123" s="1"/>
  <c r="W72" i="123"/>
  <c r="AF72" i="123" s="1"/>
  <c r="W84" i="123"/>
  <c r="AG84" i="123" s="1"/>
  <c r="W96" i="123"/>
  <c r="AH96" i="123" s="1"/>
  <c r="W108" i="123"/>
  <c r="AI108" i="123" s="1"/>
  <c r="W120" i="123"/>
  <c r="AJ120" i="123" s="1"/>
  <c r="W13" i="123"/>
  <c r="AA13" i="123" s="1"/>
  <c r="W25" i="123"/>
  <c r="AB25" i="123" s="1"/>
  <c r="W37" i="123"/>
  <c r="AC37" i="123" s="1"/>
  <c r="W49" i="123"/>
  <c r="AD49" i="123" s="1"/>
  <c r="W61" i="123"/>
  <c r="AE61" i="123" s="1"/>
  <c r="W73" i="123"/>
  <c r="AF73" i="123" s="1"/>
  <c r="W85" i="123"/>
  <c r="AG85" i="123" s="1"/>
  <c r="W97" i="123"/>
  <c r="AH97" i="123" s="1"/>
  <c r="W109" i="123"/>
  <c r="AI109" i="123" s="1"/>
  <c r="W121" i="123"/>
  <c r="AJ121" i="123" s="1"/>
  <c r="W14" i="123"/>
  <c r="AA14" i="123" s="1"/>
  <c r="W26" i="123"/>
  <c r="AB26" i="123" s="1"/>
  <c r="W38" i="123"/>
  <c r="AC38" i="123" s="1"/>
  <c r="W50" i="123"/>
  <c r="AD50" i="123" s="1"/>
  <c r="W62" i="123"/>
  <c r="AE62" i="123" s="1"/>
  <c r="W74" i="123"/>
  <c r="AF74" i="123" s="1"/>
  <c r="W86" i="123"/>
  <c r="AG86" i="123" s="1"/>
  <c r="W98" i="123"/>
  <c r="AH98" i="123" s="1"/>
  <c r="W110" i="123"/>
  <c r="AI110" i="123" s="1"/>
  <c r="W122" i="123"/>
  <c r="AJ122" i="123" s="1"/>
  <c r="W15" i="123"/>
  <c r="AA15" i="123" s="1"/>
  <c r="W27" i="123"/>
  <c r="AB27" i="123" s="1"/>
  <c r="W39" i="123"/>
  <c r="AC39" i="123" s="1"/>
  <c r="W51" i="123"/>
  <c r="AD51" i="123" s="1"/>
  <c r="W63" i="123"/>
  <c r="AE63" i="123" s="1"/>
  <c r="W75" i="123"/>
  <c r="AF75" i="123" s="1"/>
  <c r="W87" i="123"/>
  <c r="AG87" i="123" s="1"/>
  <c r="W99" i="123"/>
  <c r="AH99" i="123" s="1"/>
  <c r="W111" i="123"/>
  <c r="AI111" i="123" s="1"/>
  <c r="W123" i="123"/>
  <c r="AJ123" i="123" s="1"/>
  <c r="W16" i="123"/>
  <c r="AA16" i="123" s="1"/>
  <c r="W28" i="123"/>
  <c r="AB28" i="123" s="1"/>
  <c r="W40" i="123"/>
  <c r="AC40" i="123" s="1"/>
  <c r="W52" i="123"/>
  <c r="AD52" i="123" s="1"/>
  <c r="W64" i="123"/>
  <c r="AE64" i="123" s="1"/>
  <c r="W76" i="123"/>
  <c r="AF76" i="123" s="1"/>
  <c r="W88" i="123"/>
  <c r="AG88" i="123" s="1"/>
  <c r="W100" i="123"/>
  <c r="AH100" i="123" s="1"/>
  <c r="W112" i="123"/>
  <c r="AI112" i="123" s="1"/>
  <c r="W124" i="123"/>
  <c r="AJ124" i="123" s="1"/>
  <c r="X5" i="123"/>
  <c r="X17" i="123"/>
  <c r="AN17" i="123" s="1"/>
  <c r="X29" i="123"/>
  <c r="AO29" i="123" s="1"/>
  <c r="X41" i="123"/>
  <c r="AP41" i="123" s="1"/>
  <c r="X53" i="123"/>
  <c r="AQ53" i="123" s="1"/>
  <c r="X65" i="123"/>
  <c r="AR65" i="123" s="1"/>
  <c r="X77" i="123"/>
  <c r="AS77" i="123" s="1"/>
  <c r="X89" i="123"/>
  <c r="AT89" i="123" s="1"/>
  <c r="X101" i="123"/>
  <c r="AU101" i="123" s="1"/>
  <c r="X113" i="123"/>
  <c r="AV113" i="123" s="1"/>
  <c r="X6" i="123"/>
  <c r="AM6" i="123" s="1"/>
  <c r="X18" i="123"/>
  <c r="AN18" i="123" s="1"/>
  <c r="X30" i="123"/>
  <c r="AO30" i="123" s="1"/>
  <c r="X42" i="123"/>
  <c r="AP42" i="123" s="1"/>
  <c r="X54" i="123"/>
  <c r="AQ54" i="123" s="1"/>
  <c r="X66" i="123"/>
  <c r="AR66" i="123" s="1"/>
  <c r="X78" i="123"/>
  <c r="AS78" i="123" s="1"/>
  <c r="X90" i="123"/>
  <c r="AT90" i="123" s="1"/>
  <c r="X102" i="123"/>
  <c r="AU102" i="123" s="1"/>
  <c r="X114" i="123"/>
  <c r="AV114" i="123" s="1"/>
  <c r="X7" i="123"/>
  <c r="AM7" i="123" s="1"/>
  <c r="X19" i="123"/>
  <c r="AN19" i="123" s="1"/>
  <c r="X31" i="123"/>
  <c r="AO31" i="123" s="1"/>
  <c r="X43" i="123"/>
  <c r="AP43" i="123" s="1"/>
  <c r="X55" i="123"/>
  <c r="AQ55" i="123" s="1"/>
  <c r="X67" i="123"/>
  <c r="AR67" i="123" s="1"/>
  <c r="X79" i="123"/>
  <c r="AS79" i="123" s="1"/>
  <c r="X91" i="123"/>
  <c r="AT91" i="123" s="1"/>
  <c r="X103" i="123"/>
  <c r="AU103" i="123" s="1"/>
  <c r="X115" i="123"/>
  <c r="AV115" i="123" s="1"/>
  <c r="X8" i="123"/>
  <c r="AM8" i="123" s="1"/>
  <c r="X20" i="123"/>
  <c r="AN20" i="123" s="1"/>
  <c r="X32" i="123"/>
  <c r="AO32" i="123" s="1"/>
  <c r="X44" i="123"/>
  <c r="X56" i="123"/>
  <c r="AQ56" i="123" s="1"/>
  <c r="X68" i="123"/>
  <c r="AR68" i="123" s="1"/>
  <c r="X80" i="123"/>
  <c r="AS80" i="123" s="1"/>
  <c r="X92" i="123"/>
  <c r="AT92" i="123" s="1"/>
  <c r="X104" i="123"/>
  <c r="AU104" i="123" s="1"/>
  <c r="X116" i="123"/>
  <c r="AV116" i="123" s="1"/>
  <c r="X9" i="123"/>
  <c r="AM9" i="123" s="1"/>
  <c r="X21" i="123"/>
  <c r="AN21" i="123" s="1"/>
  <c r="X33" i="123"/>
  <c r="AO33" i="123" s="1"/>
  <c r="X45" i="123"/>
  <c r="AP45" i="123" s="1"/>
  <c r="X57" i="123"/>
  <c r="AQ57" i="123" s="1"/>
  <c r="X69" i="123"/>
  <c r="AR69" i="123" s="1"/>
  <c r="X81" i="123"/>
  <c r="AS81" i="123" s="1"/>
  <c r="X93" i="123"/>
  <c r="AT93" i="123" s="1"/>
  <c r="X105" i="123"/>
  <c r="AU105" i="123" s="1"/>
  <c r="X117" i="123"/>
  <c r="AV117" i="123" s="1"/>
  <c r="X10" i="123"/>
  <c r="AM10" i="123" s="1"/>
  <c r="X22" i="123"/>
  <c r="AN22" i="123" s="1"/>
  <c r="X34" i="123"/>
  <c r="AO34" i="123" s="1"/>
  <c r="X46" i="123"/>
  <c r="AP46" i="123" s="1"/>
  <c r="X58" i="123"/>
  <c r="AQ58" i="123" s="1"/>
  <c r="X70" i="123"/>
  <c r="AR70" i="123" s="1"/>
  <c r="X82" i="123"/>
  <c r="AS82" i="123" s="1"/>
  <c r="X94" i="123"/>
  <c r="AT94" i="123" s="1"/>
  <c r="X106" i="123"/>
  <c r="AU106" i="123" s="1"/>
  <c r="X118" i="123"/>
  <c r="AV118" i="123" s="1"/>
  <c r="X11" i="123"/>
  <c r="AM11" i="123" s="1"/>
  <c r="X23" i="123"/>
  <c r="AN23" i="123" s="1"/>
  <c r="X35" i="123"/>
  <c r="AO35" i="123" s="1"/>
  <c r="X47" i="123"/>
  <c r="AP47" i="123" s="1"/>
  <c r="X59" i="123"/>
  <c r="AQ59" i="123" s="1"/>
  <c r="X71" i="123"/>
  <c r="AR71" i="123" s="1"/>
  <c r="X83" i="123"/>
  <c r="AS83" i="123" s="1"/>
  <c r="X95" i="123"/>
  <c r="AT95" i="123" s="1"/>
  <c r="X107" i="123"/>
  <c r="AU107" i="123" s="1"/>
  <c r="X119" i="123"/>
  <c r="AV119" i="123" s="1"/>
  <c r="X12" i="123"/>
  <c r="AM12" i="123" s="1"/>
  <c r="X24" i="123"/>
  <c r="AN24" i="123" s="1"/>
  <c r="X36" i="123"/>
  <c r="AO36" i="123" s="1"/>
  <c r="X48" i="123"/>
  <c r="AP48" i="123" s="1"/>
  <c r="X60" i="123"/>
  <c r="AQ60" i="123" s="1"/>
  <c r="X72" i="123"/>
  <c r="X84" i="123"/>
  <c r="AS84" i="123" s="1"/>
  <c r="X96" i="123"/>
  <c r="AT96" i="123" s="1"/>
  <c r="X108" i="123"/>
  <c r="AU108" i="123" s="1"/>
  <c r="X120" i="123"/>
  <c r="AV120" i="123" s="1"/>
  <c r="X13" i="123"/>
  <c r="AM13" i="123" s="1"/>
  <c r="X25" i="123"/>
  <c r="AN25" i="123" s="1"/>
  <c r="X37" i="123"/>
  <c r="AO37" i="123" s="1"/>
  <c r="X49" i="123"/>
  <c r="AP49" i="123" s="1"/>
  <c r="X61" i="123"/>
  <c r="AQ61" i="123" s="1"/>
  <c r="X73" i="123"/>
  <c r="AR73" i="123" s="1"/>
  <c r="X85" i="123"/>
  <c r="AS85" i="123" s="1"/>
  <c r="X97" i="123"/>
  <c r="AT97" i="123" s="1"/>
  <c r="X109" i="123"/>
  <c r="AU109" i="123" s="1"/>
  <c r="X121" i="123"/>
  <c r="AV121" i="123" s="1"/>
  <c r="X14" i="123"/>
  <c r="AM14" i="123" s="1"/>
  <c r="X26" i="123"/>
  <c r="AN26" i="123" s="1"/>
  <c r="X38" i="123"/>
  <c r="AO38" i="123" s="1"/>
  <c r="X50" i="123"/>
  <c r="AP50" i="123" s="1"/>
  <c r="X62" i="123"/>
  <c r="AQ62" i="123" s="1"/>
  <c r="X74" i="123"/>
  <c r="AR74" i="123" s="1"/>
  <c r="X86" i="123"/>
  <c r="AS86" i="123" s="1"/>
  <c r="X98" i="123"/>
  <c r="AT98" i="123" s="1"/>
  <c r="X110" i="123"/>
  <c r="AU110" i="123" s="1"/>
  <c r="X122" i="123"/>
  <c r="AV122" i="123" s="1"/>
  <c r="X15" i="123"/>
  <c r="AM15" i="123" s="1"/>
  <c r="X27" i="123"/>
  <c r="AN27" i="123" s="1"/>
  <c r="X39" i="123"/>
  <c r="AO39" i="123" s="1"/>
  <c r="X51" i="123"/>
  <c r="AP51" i="123" s="1"/>
  <c r="X63" i="123"/>
  <c r="AQ63" i="123" s="1"/>
  <c r="X75" i="123"/>
  <c r="AR75" i="123" s="1"/>
  <c r="X87" i="123"/>
  <c r="AS87" i="123" s="1"/>
  <c r="X99" i="123"/>
  <c r="AT99" i="123" s="1"/>
  <c r="X111" i="123"/>
  <c r="AU111" i="123" s="1"/>
  <c r="X123" i="123"/>
  <c r="AV123" i="123" s="1"/>
  <c r="X16" i="123"/>
  <c r="AM16" i="123" s="1"/>
  <c r="X28" i="123"/>
  <c r="AN28" i="123" s="1"/>
  <c r="X40" i="123"/>
  <c r="AO40" i="123" s="1"/>
  <c r="X52" i="123"/>
  <c r="AP52" i="123" s="1"/>
  <c r="X64" i="123"/>
  <c r="AQ64" i="123" s="1"/>
  <c r="X76" i="123"/>
  <c r="AR76" i="123" s="1"/>
  <c r="X88" i="123"/>
  <c r="AS88" i="123" s="1"/>
  <c r="X100" i="123"/>
  <c r="AT100" i="123" s="1"/>
  <c r="X112" i="123"/>
  <c r="AU112" i="123" s="1"/>
  <c r="X124" i="123"/>
  <c r="AV124" i="123" s="1"/>
  <c r="K192" i="107"/>
  <c r="J192" i="107"/>
  <c r="I192" i="107"/>
  <c r="H192" i="107"/>
  <c r="G192" i="107"/>
  <c r="F192" i="107"/>
  <c r="E192" i="107"/>
  <c r="D192" i="107"/>
  <c r="C192" i="107"/>
  <c r="B192" i="107"/>
  <c r="K177" i="107"/>
  <c r="J177" i="107"/>
  <c r="I177" i="107"/>
  <c r="H177" i="107"/>
  <c r="G177" i="107"/>
  <c r="F177" i="107"/>
  <c r="E177" i="107"/>
  <c r="D177" i="107"/>
  <c r="C177" i="107"/>
  <c r="B177" i="107"/>
  <c r="A48" i="107"/>
  <c r="E10" i="141" l="1"/>
  <c r="F25" i="148"/>
  <c r="G25" i="148"/>
  <c r="H25" i="148"/>
  <c r="I25" i="148"/>
  <c r="J25" i="148"/>
  <c r="K25" i="148"/>
  <c r="L25" i="148"/>
  <c r="M25" i="148"/>
  <c r="N25" i="148"/>
  <c r="E25" i="148"/>
  <c r="F24" i="148"/>
  <c r="G24" i="148"/>
  <c r="H24" i="148"/>
  <c r="I24" i="148"/>
  <c r="J24" i="148"/>
  <c r="K24" i="148"/>
  <c r="L24" i="148"/>
  <c r="M24" i="148"/>
  <c r="N24" i="148"/>
  <c r="E24" i="148"/>
  <c r="S4" i="123"/>
  <c r="AC44" i="107"/>
  <c r="AD44" i="107"/>
  <c r="AE44" i="107"/>
  <c r="AF44" i="107"/>
  <c r="AG44" i="107"/>
  <c r="AH44" i="107"/>
  <c r="AI44" i="107"/>
  <c r="AJ44" i="107"/>
  <c r="AK44" i="107"/>
  <c r="AL44" i="107"/>
  <c r="AM44" i="107"/>
  <c r="AN44" i="107"/>
  <c r="AO44" i="107"/>
  <c r="AP44" i="107"/>
  <c r="AQ44" i="107"/>
  <c r="AR44" i="107"/>
  <c r="AS44" i="107"/>
  <c r="AT44" i="107"/>
  <c r="AU44" i="107"/>
  <c r="AV44" i="107"/>
  <c r="AW44" i="107"/>
  <c r="AX44" i="107"/>
  <c r="AY44" i="107"/>
  <c r="AZ44" i="107"/>
  <c r="BA44" i="107"/>
  <c r="AC43" i="107"/>
  <c r="AD43" i="107"/>
  <c r="AE43" i="107"/>
  <c r="AF43" i="107"/>
  <c r="AG43" i="107"/>
  <c r="AH43" i="107"/>
  <c r="AI43" i="107"/>
  <c r="AJ43" i="107"/>
  <c r="AK43" i="107"/>
  <c r="AL43" i="107"/>
  <c r="AM43" i="107"/>
  <c r="AN43" i="107"/>
  <c r="AO43" i="107"/>
  <c r="AP43" i="107"/>
  <c r="AQ43" i="107"/>
  <c r="AR43" i="107"/>
  <c r="AS43" i="107"/>
  <c r="AT43" i="107"/>
  <c r="AU43" i="107"/>
  <c r="AV43" i="107"/>
  <c r="AW43" i="107"/>
  <c r="AX43" i="107"/>
  <c r="AY43" i="107"/>
  <c r="AZ43" i="107"/>
  <c r="BA43" i="107"/>
  <c r="F28" i="104"/>
  <c r="G28" i="104"/>
  <c r="H28" i="104"/>
  <c r="I28" i="104"/>
  <c r="J28" i="104"/>
  <c r="K28" i="104"/>
  <c r="L28" i="104"/>
  <c r="M28" i="104"/>
  <c r="N28" i="104"/>
  <c r="E28" i="104"/>
  <c r="I8" i="140"/>
  <c r="I7" i="140"/>
  <c r="I6" i="140"/>
  <c r="K37" i="140"/>
  <c r="D8" i="106"/>
  <c r="L18" i="148"/>
  <c r="M18" i="148"/>
  <c r="N18" i="148"/>
  <c r="K4" i="152"/>
  <c r="L4" i="152" s="1"/>
  <c r="D13" i="141" s="1"/>
  <c r="F77" i="152"/>
  <c r="F76" i="152"/>
  <c r="F75" i="152"/>
  <c r="F74" i="152"/>
  <c r="F73" i="152"/>
  <c r="F72" i="152"/>
  <c r="F71" i="152"/>
  <c r="F70" i="152"/>
  <c r="F69" i="152"/>
  <c r="F68" i="152"/>
  <c r="F67" i="152"/>
  <c r="F66" i="152"/>
  <c r="F65" i="152"/>
  <c r="F64" i="152"/>
  <c r="F63" i="152"/>
  <c r="F62" i="152"/>
  <c r="F61" i="152"/>
  <c r="F60" i="152"/>
  <c r="F59" i="152"/>
  <c r="F58" i="152"/>
  <c r="F57" i="152"/>
  <c r="F56" i="152"/>
  <c r="F55" i="152"/>
  <c r="F54" i="152"/>
  <c r="F53" i="152"/>
  <c r="F52" i="152"/>
  <c r="F51" i="152"/>
  <c r="F50" i="152"/>
  <c r="F49" i="152"/>
  <c r="F48" i="152"/>
  <c r="F47" i="152"/>
  <c r="F46" i="152"/>
  <c r="F45" i="152"/>
  <c r="F44" i="152"/>
  <c r="F43" i="152"/>
  <c r="F42" i="152"/>
  <c r="F41" i="152"/>
  <c r="F40" i="152"/>
  <c r="F39" i="152"/>
  <c r="F38" i="152"/>
  <c r="F37" i="152"/>
  <c r="F36" i="152"/>
  <c r="F35" i="152"/>
  <c r="F34" i="152"/>
  <c r="F33" i="152"/>
  <c r="F32" i="152"/>
  <c r="F31" i="152"/>
  <c r="F30" i="152"/>
  <c r="F29" i="152"/>
  <c r="F28" i="152"/>
  <c r="F27" i="152"/>
  <c r="F26" i="152"/>
  <c r="F25" i="152"/>
  <c r="F24" i="152"/>
  <c r="F23" i="152"/>
  <c r="F22" i="152"/>
  <c r="F21" i="152"/>
  <c r="F20" i="152"/>
  <c r="F19" i="152"/>
  <c r="F18" i="152"/>
  <c r="F17" i="152"/>
  <c r="F16" i="152"/>
  <c r="F15" i="152"/>
  <c r="F14" i="152"/>
  <c r="F13" i="152"/>
  <c r="F12" i="152"/>
  <c r="F11" i="152"/>
  <c r="F10" i="152"/>
  <c r="F9" i="152"/>
  <c r="F8" i="152"/>
  <c r="F7" i="152"/>
  <c r="F6" i="152"/>
  <c r="F5" i="152"/>
  <c r="F4" i="152"/>
  <c r="F3" i="152"/>
  <c r="E14" i="148" l="1"/>
  <c r="E15" i="148" s="1"/>
  <c r="E10" i="148"/>
  <c r="F10" i="148" s="1"/>
  <c r="F11" i="148" s="1"/>
  <c r="E6" i="148"/>
  <c r="E7" i="148" s="1"/>
  <c r="G10" i="148" l="1"/>
  <c r="G11" i="148" s="1"/>
  <c r="F14" i="148"/>
  <c r="F15" i="148" s="1"/>
  <c r="F6" i="148"/>
  <c r="G6" i="148" s="1"/>
  <c r="G7" i="148" s="1"/>
  <c r="E11" i="148"/>
  <c r="E19" i="148" s="1"/>
  <c r="F7" i="148" l="1"/>
  <c r="F19" i="148" s="1"/>
  <c r="H6" i="148"/>
  <c r="I6" i="148" s="1"/>
  <c r="J6" i="148" s="1"/>
  <c r="H10" i="148"/>
  <c r="I10" i="148" s="1"/>
  <c r="G14" i="148"/>
  <c r="G15" i="148" s="1"/>
  <c r="G19" i="148" s="1"/>
  <c r="I7" i="148" l="1"/>
  <c r="H7" i="148"/>
  <c r="H14" i="148"/>
  <c r="H15" i="148" s="1"/>
  <c r="H11" i="148"/>
  <c r="J10" i="148"/>
  <c r="I11" i="148"/>
  <c r="J7" i="148"/>
  <c r="K6" i="148"/>
  <c r="I14" i="148" l="1"/>
  <c r="J14" i="148" s="1"/>
  <c r="H19" i="148"/>
  <c r="K10" i="148"/>
  <c r="J11" i="148"/>
  <c r="K7" i="148"/>
  <c r="L6" i="148"/>
  <c r="I15" i="148" l="1"/>
  <c r="I19" i="148" s="1"/>
  <c r="L10" i="148"/>
  <c r="K11" i="148"/>
  <c r="J15" i="148"/>
  <c r="J19" i="148" s="1"/>
  <c r="K14" i="148"/>
  <c r="M6" i="148"/>
  <c r="L7" i="148"/>
  <c r="M10" i="148" l="1"/>
  <c r="L11" i="148"/>
  <c r="K15" i="148"/>
  <c r="K19" i="148" s="1"/>
  <c r="L14" i="148"/>
  <c r="M7" i="148"/>
  <c r="N6" i="148"/>
  <c r="N7" i="148" s="1"/>
  <c r="N10" i="148" l="1"/>
  <c r="N11" i="148" s="1"/>
  <c r="M11" i="148"/>
  <c r="L15" i="148"/>
  <c r="L19" i="148" s="1"/>
  <c r="M14" i="148"/>
  <c r="M15" i="148" l="1"/>
  <c r="M19" i="148" s="1"/>
  <c r="N14" i="148"/>
  <c r="N15" i="148" s="1"/>
  <c r="N19" i="148" s="1"/>
  <c r="E12" i="104" l="1"/>
  <c r="C7" i="151"/>
  <c r="L30" i="104" l="1"/>
  <c r="L32" i="104" s="1"/>
  <c r="L34" i="104" s="1"/>
  <c r="M30" i="104"/>
  <c r="M32" i="104" s="1"/>
  <c r="M34" i="104" s="1"/>
  <c r="N30" i="104"/>
  <c r="N32" i="104" s="1"/>
  <c r="N34" i="104" s="1"/>
  <c r="L13" i="104"/>
  <c r="L15" i="104" s="1"/>
  <c r="M13" i="104"/>
  <c r="M15" i="104" s="1"/>
  <c r="N13" i="104"/>
  <c r="N15" i="104" s="1"/>
  <c r="L9" i="104"/>
  <c r="L20" i="104" s="1"/>
  <c r="M9" i="104"/>
  <c r="M20" i="104" s="1"/>
  <c r="N9" i="104"/>
  <c r="N20" i="104" s="1"/>
  <c r="N17" i="104" l="1"/>
  <c r="N22" i="104" s="1"/>
  <c r="N24" i="104" s="1"/>
  <c r="L17" i="104"/>
  <c r="L22" i="104"/>
  <c r="L24" i="104" s="1"/>
  <c r="M17" i="104"/>
  <c r="N27" i="104" l="1"/>
  <c r="L27" i="104"/>
  <c r="M22" i="104"/>
  <c r="M24" i="104" s="1"/>
  <c r="C5" i="107"/>
  <c r="D5" i="107" s="1"/>
  <c r="E5" i="107" s="1"/>
  <c r="F5" i="107" s="1"/>
  <c r="G5" i="107" s="1"/>
  <c r="H5" i="107" s="1"/>
  <c r="I5" i="107" s="1"/>
  <c r="J5" i="107" s="1"/>
  <c r="K5" i="107" s="1"/>
  <c r="L5" i="107" s="1"/>
  <c r="M5" i="107" s="1"/>
  <c r="N5" i="107" s="1"/>
  <c r="O5" i="107" s="1"/>
  <c r="P5" i="107" s="1"/>
  <c r="Q5" i="107" s="1"/>
  <c r="R5" i="107" s="1"/>
  <c r="S5" i="107" s="1"/>
  <c r="T5" i="107" s="1"/>
  <c r="U5" i="107" s="1"/>
  <c r="V5" i="107" s="1"/>
  <c r="W5" i="107" s="1"/>
  <c r="X5" i="107" s="1"/>
  <c r="Y5" i="107" s="1"/>
  <c r="Z5" i="107" s="1"/>
  <c r="AA5" i="107" s="1"/>
  <c r="AB5" i="107" s="1"/>
  <c r="AC5" i="107" s="1"/>
  <c r="AD5" i="107" s="1"/>
  <c r="AE5" i="107" s="1"/>
  <c r="AF5" i="107" s="1"/>
  <c r="AG5" i="107" s="1"/>
  <c r="AH5" i="107" s="1"/>
  <c r="AI5" i="107" s="1"/>
  <c r="AJ5" i="107" s="1"/>
  <c r="AK5" i="107" s="1"/>
  <c r="AL5" i="107" s="1"/>
  <c r="AM5" i="107" s="1"/>
  <c r="AN5" i="107" s="1"/>
  <c r="AO5" i="107" s="1"/>
  <c r="AP5" i="107" s="1"/>
  <c r="AQ5" i="107" s="1"/>
  <c r="AR5" i="107" s="1"/>
  <c r="AS5" i="107" s="1"/>
  <c r="AT5" i="107" s="1"/>
  <c r="AU5" i="107" s="1"/>
  <c r="AV5" i="107" s="1"/>
  <c r="AW5" i="107" s="1"/>
  <c r="AX5" i="107" s="1"/>
  <c r="AY5" i="107" s="1"/>
  <c r="AZ5" i="107" s="1"/>
  <c r="BA5" i="107" s="1"/>
  <c r="D4" i="107"/>
  <c r="E4" i="107"/>
  <c r="F4" i="107"/>
  <c r="G4" i="107"/>
  <c r="H4" i="107"/>
  <c r="I4" i="107"/>
  <c r="J4" i="107"/>
  <c r="K4" i="107"/>
  <c r="L4" i="107"/>
  <c r="M4" i="107"/>
  <c r="N4" i="107"/>
  <c r="O4" i="107"/>
  <c r="P4" i="107"/>
  <c r="Q4" i="107"/>
  <c r="R4" i="107"/>
  <c r="S4" i="107"/>
  <c r="T4" i="107"/>
  <c r="U4" i="107"/>
  <c r="V4" i="107"/>
  <c r="W4" i="107"/>
  <c r="X4" i="107"/>
  <c r="Y4" i="107"/>
  <c r="Z4" i="107"/>
  <c r="AA4" i="107"/>
  <c r="AB4" i="107"/>
  <c r="AC4" i="107"/>
  <c r="AD4" i="107"/>
  <c r="AE4" i="107"/>
  <c r="AF4" i="107"/>
  <c r="AG4" i="107"/>
  <c r="AH4" i="107"/>
  <c r="AI4" i="107"/>
  <c r="AJ4" i="107"/>
  <c r="AK4" i="107"/>
  <c r="AL4" i="107"/>
  <c r="AM4" i="107"/>
  <c r="AN4" i="107"/>
  <c r="AO4" i="107"/>
  <c r="AP4" i="107"/>
  <c r="AQ4" i="107"/>
  <c r="AR4" i="107"/>
  <c r="AS4" i="107"/>
  <c r="AT4" i="107"/>
  <c r="AU4" i="107"/>
  <c r="AV4" i="107"/>
  <c r="AW4" i="107"/>
  <c r="AX4" i="107"/>
  <c r="AY4" i="107"/>
  <c r="AZ4" i="107"/>
  <c r="BA4" i="107"/>
  <c r="C4" i="107"/>
  <c r="M27" i="104" l="1"/>
  <c r="E15" i="141"/>
  <c r="B16" i="123" l="1"/>
  <c r="B15" i="123"/>
  <c r="B14" i="123"/>
  <c r="B13" i="123"/>
  <c r="B12" i="123"/>
  <c r="B11" i="123"/>
  <c r="B10" i="123"/>
  <c r="B9" i="123"/>
  <c r="B8" i="123"/>
  <c r="B7" i="123"/>
  <c r="B6" i="123"/>
  <c r="B5" i="123"/>
  <c r="D16" i="123"/>
  <c r="D15" i="123"/>
  <c r="D14" i="123"/>
  <c r="D13" i="123"/>
  <c r="D12" i="123"/>
  <c r="D11" i="123"/>
  <c r="D10" i="123"/>
  <c r="D9" i="123"/>
  <c r="D8" i="123"/>
  <c r="D7" i="123"/>
  <c r="D6" i="123"/>
  <c r="D5" i="123"/>
  <c r="A113" i="123"/>
  <c r="A115" i="123" s="1"/>
  <c r="A116" i="123" s="1"/>
  <c r="A117" i="123" s="1"/>
  <c r="A118" i="123" s="1"/>
  <c r="A119" i="123" s="1"/>
  <c r="A120" i="123" s="1"/>
  <c r="A121" i="123" s="1"/>
  <c r="A122" i="123" s="1"/>
  <c r="A123" i="123" s="1"/>
  <c r="A124" i="123" s="1"/>
  <c r="A101" i="123"/>
  <c r="A103" i="123" s="1"/>
  <c r="A104" i="123" s="1"/>
  <c r="A105" i="123" s="1"/>
  <c r="A106" i="123" s="1"/>
  <c r="A107" i="123" s="1"/>
  <c r="A108" i="123" s="1"/>
  <c r="A109" i="123" s="1"/>
  <c r="A110" i="123" s="1"/>
  <c r="A111" i="123" s="1"/>
  <c r="A112" i="123" s="1"/>
  <c r="A89" i="123"/>
  <c r="A90" i="123" s="1"/>
  <c r="A77" i="123"/>
  <c r="A79" i="123" s="1"/>
  <c r="A80" i="123" s="1"/>
  <c r="A81" i="123" s="1"/>
  <c r="A82" i="123" s="1"/>
  <c r="A83" i="123" s="1"/>
  <c r="A84" i="123" s="1"/>
  <c r="A85" i="123" s="1"/>
  <c r="A86" i="123" s="1"/>
  <c r="A87" i="123" s="1"/>
  <c r="A88" i="123" s="1"/>
  <c r="A65" i="123"/>
  <c r="A66" i="123" s="1"/>
  <c r="A53" i="123"/>
  <c r="A54" i="123" s="1"/>
  <c r="A41" i="123"/>
  <c r="A43" i="123" s="1"/>
  <c r="A44" i="123" s="1"/>
  <c r="A45" i="123" s="1"/>
  <c r="A46" i="123" s="1"/>
  <c r="A47" i="123" s="1"/>
  <c r="A48" i="123" s="1"/>
  <c r="A49" i="123" s="1"/>
  <c r="A50" i="123" s="1"/>
  <c r="A51" i="123" s="1"/>
  <c r="A52" i="123" s="1"/>
  <c r="A29" i="123"/>
  <c r="A31" i="123" s="1"/>
  <c r="A32" i="123" s="1"/>
  <c r="A33" i="123" s="1"/>
  <c r="A34" i="123" s="1"/>
  <c r="A35" i="123" s="1"/>
  <c r="A36" i="123" s="1"/>
  <c r="A37" i="123" s="1"/>
  <c r="A38" i="123" s="1"/>
  <c r="A39" i="123" s="1"/>
  <c r="A40" i="123" s="1"/>
  <c r="A17" i="123"/>
  <c r="A18" i="123" s="1"/>
  <c r="A5" i="123"/>
  <c r="A7" i="123" s="1"/>
  <c r="A8" i="123" s="1"/>
  <c r="A9" i="123" s="1"/>
  <c r="A10" i="123" s="1"/>
  <c r="A11" i="123" s="1"/>
  <c r="A12" i="123" s="1"/>
  <c r="A13" i="123" s="1"/>
  <c r="A14" i="123" s="1"/>
  <c r="A15" i="123" s="1"/>
  <c r="A16" i="123" s="1"/>
  <c r="C113" i="123"/>
  <c r="C101" i="123"/>
  <c r="C89" i="123"/>
  <c r="C77" i="123"/>
  <c r="C65" i="123"/>
  <c r="C53" i="123"/>
  <c r="C41" i="123"/>
  <c r="AD4" i="123" s="1"/>
  <c r="AP4" i="123" s="1"/>
  <c r="C29" i="123"/>
  <c r="AC4" i="123" s="1"/>
  <c r="AO4" i="123" s="1"/>
  <c r="C17" i="123"/>
  <c r="C5" i="123"/>
  <c r="AA4" i="123" s="1"/>
  <c r="AM4" i="123" s="1"/>
  <c r="K5" i="123"/>
  <c r="T5" i="123" s="1"/>
  <c r="K17" i="123"/>
  <c r="T18" i="123" s="1"/>
  <c r="K29" i="123"/>
  <c r="T31" i="123" s="1"/>
  <c r="K41" i="123"/>
  <c r="T44" i="123" s="1"/>
  <c r="K53" i="123"/>
  <c r="T57" i="123" s="1"/>
  <c r="K65" i="123"/>
  <c r="T70" i="123" s="1"/>
  <c r="K77" i="123"/>
  <c r="T83" i="123" s="1"/>
  <c r="K89" i="123"/>
  <c r="T96" i="123" s="1"/>
  <c r="K101" i="123"/>
  <c r="K113" i="123"/>
  <c r="K6" i="123"/>
  <c r="T6" i="123" s="1"/>
  <c r="K18" i="123"/>
  <c r="T19" i="123" s="1"/>
  <c r="K30" i="123"/>
  <c r="T32" i="123" s="1"/>
  <c r="K42" i="123"/>
  <c r="T45" i="123" s="1"/>
  <c r="K54" i="123"/>
  <c r="T58" i="123" s="1"/>
  <c r="K66" i="123"/>
  <c r="T71" i="123" s="1"/>
  <c r="K78" i="123"/>
  <c r="T84" i="123" s="1"/>
  <c r="K90" i="123"/>
  <c r="T97" i="123" s="1"/>
  <c r="K102" i="123"/>
  <c r="K114" i="123"/>
  <c r="K7" i="123"/>
  <c r="T7" i="123" s="1"/>
  <c r="K19" i="123"/>
  <c r="T20" i="123" s="1"/>
  <c r="K31" i="123"/>
  <c r="T33" i="123" s="1"/>
  <c r="K43" i="123"/>
  <c r="T46" i="123" s="1"/>
  <c r="K55" i="123"/>
  <c r="T59" i="123" s="1"/>
  <c r="K67" i="123"/>
  <c r="T72" i="123" s="1"/>
  <c r="K79" i="123"/>
  <c r="T85" i="123" s="1"/>
  <c r="K91" i="123"/>
  <c r="T98" i="123" s="1"/>
  <c r="K103" i="123"/>
  <c r="K115" i="123"/>
  <c r="K8" i="123"/>
  <c r="T8" i="123" s="1"/>
  <c r="K20" i="123"/>
  <c r="T21" i="123" s="1"/>
  <c r="K32" i="123"/>
  <c r="T34" i="123" s="1"/>
  <c r="K44" i="123"/>
  <c r="T47" i="123" s="1"/>
  <c r="K56" i="123"/>
  <c r="T60" i="123" s="1"/>
  <c r="K68" i="123"/>
  <c r="T73" i="123" s="1"/>
  <c r="K80" i="123"/>
  <c r="T86" i="123" s="1"/>
  <c r="K92" i="123"/>
  <c r="T99" i="123" s="1"/>
  <c r="K104" i="123"/>
  <c r="K116" i="123"/>
  <c r="K9" i="123"/>
  <c r="T9" i="123" s="1"/>
  <c r="K21" i="123"/>
  <c r="T22" i="123" s="1"/>
  <c r="K33" i="123"/>
  <c r="T35" i="123" s="1"/>
  <c r="K45" i="123"/>
  <c r="T48" i="123" s="1"/>
  <c r="K57" i="123"/>
  <c r="T61" i="123" s="1"/>
  <c r="K69" i="123"/>
  <c r="T74" i="123" s="1"/>
  <c r="K81" i="123"/>
  <c r="T87" i="123" s="1"/>
  <c r="K93" i="123"/>
  <c r="T100" i="123" s="1"/>
  <c r="K105" i="123"/>
  <c r="K117" i="123"/>
  <c r="K10" i="123"/>
  <c r="T10" i="123" s="1"/>
  <c r="K22" i="123"/>
  <c r="T23" i="123" s="1"/>
  <c r="K34" i="123"/>
  <c r="T36" i="123" s="1"/>
  <c r="K46" i="123"/>
  <c r="T49" i="123" s="1"/>
  <c r="K58" i="123"/>
  <c r="T62" i="123" s="1"/>
  <c r="K70" i="123"/>
  <c r="T75" i="123" s="1"/>
  <c r="K82" i="123"/>
  <c r="T88" i="123" s="1"/>
  <c r="K94" i="123"/>
  <c r="T101" i="123" s="1"/>
  <c r="K106" i="123"/>
  <c r="K118" i="123"/>
  <c r="K11" i="123"/>
  <c r="T11" i="123" s="1"/>
  <c r="K23" i="123"/>
  <c r="T24" i="123" s="1"/>
  <c r="K35" i="123"/>
  <c r="T37" i="123" s="1"/>
  <c r="K47" i="123"/>
  <c r="T50" i="123" s="1"/>
  <c r="K59" i="123"/>
  <c r="T63" i="123" s="1"/>
  <c r="K71" i="123"/>
  <c r="T76" i="123" s="1"/>
  <c r="K83" i="123"/>
  <c r="T89" i="123" s="1"/>
  <c r="K95" i="123"/>
  <c r="T102" i="123" s="1"/>
  <c r="K107" i="123"/>
  <c r="K119" i="123"/>
  <c r="K12" i="123"/>
  <c r="T12" i="123" s="1"/>
  <c r="K24" i="123"/>
  <c r="T25" i="123" s="1"/>
  <c r="K36" i="123"/>
  <c r="T38" i="123" s="1"/>
  <c r="K48" i="123"/>
  <c r="T51" i="123" s="1"/>
  <c r="K60" i="123"/>
  <c r="T64" i="123" s="1"/>
  <c r="K72" i="123"/>
  <c r="T77" i="123" s="1"/>
  <c r="K84" i="123"/>
  <c r="T90" i="123" s="1"/>
  <c r="K96" i="123"/>
  <c r="T103" i="123" s="1"/>
  <c r="K108" i="123"/>
  <c r="K120" i="123"/>
  <c r="K13" i="123"/>
  <c r="T13" i="123" s="1"/>
  <c r="K25" i="123"/>
  <c r="T26" i="123" s="1"/>
  <c r="K37" i="123"/>
  <c r="T39" i="123" s="1"/>
  <c r="K49" i="123"/>
  <c r="T52" i="123" s="1"/>
  <c r="K61" i="123"/>
  <c r="T65" i="123" s="1"/>
  <c r="K73" i="123"/>
  <c r="T78" i="123" s="1"/>
  <c r="K85" i="123"/>
  <c r="T91" i="123" s="1"/>
  <c r="K97" i="123"/>
  <c r="T104" i="123" s="1"/>
  <c r="K109" i="123"/>
  <c r="K121" i="123"/>
  <c r="K14" i="123"/>
  <c r="T14" i="123" s="1"/>
  <c r="K26" i="123"/>
  <c r="T27" i="123" s="1"/>
  <c r="K38" i="123"/>
  <c r="T40" i="123" s="1"/>
  <c r="K50" i="123"/>
  <c r="T53" i="123" s="1"/>
  <c r="K62" i="123"/>
  <c r="T66" i="123" s="1"/>
  <c r="K74" i="123"/>
  <c r="T79" i="123" s="1"/>
  <c r="K86" i="123"/>
  <c r="T92" i="123" s="1"/>
  <c r="K98" i="123"/>
  <c r="T105" i="123" s="1"/>
  <c r="K110" i="123"/>
  <c r="K122" i="123"/>
  <c r="K15" i="123"/>
  <c r="T15" i="123" s="1"/>
  <c r="K27" i="123"/>
  <c r="T28" i="123" s="1"/>
  <c r="K39" i="123"/>
  <c r="T41" i="123" s="1"/>
  <c r="K51" i="123"/>
  <c r="T54" i="123" s="1"/>
  <c r="K63" i="123"/>
  <c r="T67" i="123" s="1"/>
  <c r="K75" i="123"/>
  <c r="T80" i="123" s="1"/>
  <c r="K87" i="123"/>
  <c r="T93" i="123" s="1"/>
  <c r="K99" i="123"/>
  <c r="T106" i="123" s="1"/>
  <c r="K111" i="123"/>
  <c r="K123" i="123"/>
  <c r="K16" i="123"/>
  <c r="T16" i="123" s="1"/>
  <c r="K28" i="123"/>
  <c r="T29" i="123" s="1"/>
  <c r="K40" i="123"/>
  <c r="T42" i="123" s="1"/>
  <c r="K52" i="123"/>
  <c r="T55" i="123" s="1"/>
  <c r="K64" i="123"/>
  <c r="T68" i="123" s="1"/>
  <c r="K76" i="123"/>
  <c r="T81" i="123" s="1"/>
  <c r="K88" i="123"/>
  <c r="T94" i="123" s="1"/>
  <c r="K100" i="123"/>
  <c r="T107" i="123" s="1"/>
  <c r="K112" i="123"/>
  <c r="K124" i="123"/>
  <c r="AD25" i="107"/>
  <c r="AE25" i="107"/>
  <c r="AF25" i="107"/>
  <c r="AG25" i="107"/>
  <c r="AH25" i="107"/>
  <c r="AI25" i="107"/>
  <c r="AJ25" i="107"/>
  <c r="AK25" i="107"/>
  <c r="AL25" i="107"/>
  <c r="AM25" i="107"/>
  <c r="AN25" i="107"/>
  <c r="AO25" i="107"/>
  <c r="AP25" i="107"/>
  <c r="AQ25" i="107"/>
  <c r="AS25" i="107"/>
  <c r="AT25" i="107"/>
  <c r="AU25" i="107"/>
  <c r="AV25" i="107"/>
  <c r="AW25" i="107"/>
  <c r="AX25" i="107"/>
  <c r="AY25" i="107"/>
  <c r="AZ25" i="107"/>
  <c r="BA25" i="107"/>
  <c r="C55" i="123" l="1"/>
  <c r="AE4" i="123"/>
  <c r="AQ4" i="123" s="1"/>
  <c r="C67" i="123"/>
  <c r="AF4" i="123"/>
  <c r="AR4" i="123" s="1"/>
  <c r="C79" i="123"/>
  <c r="AG4" i="123"/>
  <c r="AS4" i="123" s="1"/>
  <c r="C91" i="123"/>
  <c r="AH4" i="123"/>
  <c r="AT4" i="123" s="1"/>
  <c r="C103" i="123"/>
  <c r="AI4" i="123"/>
  <c r="AU4" i="123" s="1"/>
  <c r="C19" i="123"/>
  <c r="AB4" i="123"/>
  <c r="AN4" i="123" s="1"/>
  <c r="C115" i="123"/>
  <c r="AJ4" i="123"/>
  <c r="AV4" i="123" s="1"/>
  <c r="B21" i="123"/>
  <c r="Z9" i="123"/>
  <c r="AL9" i="123" s="1"/>
  <c r="B22" i="123"/>
  <c r="Z10" i="123"/>
  <c r="AL10" i="123" s="1"/>
  <c r="B23" i="123"/>
  <c r="Z11" i="123"/>
  <c r="AL11" i="123" s="1"/>
  <c r="B24" i="123"/>
  <c r="Z12" i="123"/>
  <c r="AL12" i="123" s="1"/>
  <c r="B17" i="123"/>
  <c r="P18" i="123" s="1"/>
  <c r="Z5" i="123"/>
  <c r="AL5" i="123" s="1"/>
  <c r="B25" i="123"/>
  <c r="Z13" i="123"/>
  <c r="AL13" i="123" s="1"/>
  <c r="B18" i="123"/>
  <c r="P19" i="123" s="1"/>
  <c r="Z6" i="123"/>
  <c r="AL6" i="123" s="1"/>
  <c r="B26" i="123"/>
  <c r="Z14" i="123"/>
  <c r="AL14" i="123" s="1"/>
  <c r="B19" i="123"/>
  <c r="Z7" i="123"/>
  <c r="AL7" i="123" s="1"/>
  <c r="B27" i="123"/>
  <c r="Z15" i="123"/>
  <c r="AL15" i="123" s="1"/>
  <c r="C43" i="123"/>
  <c r="B20" i="123"/>
  <c r="Z8" i="123"/>
  <c r="AL8" i="123" s="1"/>
  <c r="B28" i="123"/>
  <c r="Z16" i="123"/>
  <c r="AL16" i="123" s="1"/>
  <c r="P16" i="123"/>
  <c r="A91" i="123"/>
  <c r="A92" i="123" s="1"/>
  <c r="A93" i="123" s="1"/>
  <c r="A94" i="123" s="1"/>
  <c r="A95" i="123" s="1"/>
  <c r="A96" i="123" s="1"/>
  <c r="A97" i="123" s="1"/>
  <c r="A98" i="123" s="1"/>
  <c r="A99" i="123" s="1"/>
  <c r="A100" i="123" s="1"/>
  <c r="A19" i="123"/>
  <c r="A20" i="123" s="1"/>
  <c r="A21" i="123" s="1"/>
  <c r="A22" i="123" s="1"/>
  <c r="A23" i="123" s="1"/>
  <c r="A24" i="123" s="1"/>
  <c r="A25" i="123" s="1"/>
  <c r="A26" i="123" s="1"/>
  <c r="A27" i="123" s="1"/>
  <c r="A28" i="123" s="1"/>
  <c r="P29" i="123" s="1"/>
  <c r="A55" i="123"/>
  <c r="A30" i="123"/>
  <c r="P8" i="123"/>
  <c r="P15" i="123"/>
  <c r="P7" i="123"/>
  <c r="P14" i="123"/>
  <c r="P5" i="123"/>
  <c r="P13" i="123"/>
  <c r="P12" i="123"/>
  <c r="P11" i="123"/>
  <c r="P10" i="123"/>
  <c r="P9" i="123"/>
  <c r="A67" i="123"/>
  <c r="A102" i="123"/>
  <c r="A6" i="123"/>
  <c r="P6" i="123" s="1"/>
  <c r="A78" i="123"/>
  <c r="A42" i="123"/>
  <c r="A114" i="123"/>
  <c r="C104" i="123"/>
  <c r="C20" i="123"/>
  <c r="C68" i="123"/>
  <c r="C116" i="123"/>
  <c r="C56" i="123"/>
  <c r="C80" i="123"/>
  <c r="C44" i="123"/>
  <c r="C92" i="123"/>
  <c r="C7" i="123"/>
  <c r="C31" i="123"/>
  <c r="C18" i="123"/>
  <c r="C30" i="123"/>
  <c r="C6" i="123"/>
  <c r="C42" i="123"/>
  <c r="C54" i="123"/>
  <c r="C66" i="123"/>
  <c r="C78" i="123"/>
  <c r="C90" i="123"/>
  <c r="C102" i="123"/>
  <c r="C114" i="123"/>
  <c r="D15" i="106"/>
  <c r="D16" i="106"/>
  <c r="K11" i="104"/>
  <c r="K12" i="104"/>
  <c r="K30" i="104"/>
  <c r="K32" i="104" s="1"/>
  <c r="K34" i="104" s="1"/>
  <c r="F30" i="104"/>
  <c r="F32" i="104" s="1"/>
  <c r="F34" i="104" s="1"/>
  <c r="G30" i="104"/>
  <c r="G32" i="104" s="1"/>
  <c r="G34" i="104" s="1"/>
  <c r="H30" i="104"/>
  <c r="H32" i="104" s="1"/>
  <c r="H34" i="104" s="1"/>
  <c r="I30" i="104"/>
  <c r="I32" i="104" s="1"/>
  <c r="I34" i="104" s="1"/>
  <c r="J30" i="104"/>
  <c r="J32" i="104" s="1"/>
  <c r="J34" i="104" s="1"/>
  <c r="E30" i="104"/>
  <c r="E32" i="104" s="1"/>
  <c r="E34" i="104" s="1"/>
  <c r="B32" i="123" l="1"/>
  <c r="Z20" i="123"/>
  <c r="AL20" i="123" s="1"/>
  <c r="B38" i="123"/>
  <c r="Z26" i="123"/>
  <c r="AL26" i="123" s="1"/>
  <c r="B36" i="123"/>
  <c r="Z24" i="123"/>
  <c r="AL24" i="123" s="1"/>
  <c r="B30" i="123"/>
  <c r="Z18" i="123"/>
  <c r="AL18" i="123" s="1"/>
  <c r="B35" i="123"/>
  <c r="Z23" i="123"/>
  <c r="AL23" i="123" s="1"/>
  <c r="B39" i="123"/>
  <c r="Z27" i="123"/>
  <c r="AL27" i="123" s="1"/>
  <c r="B37" i="123"/>
  <c r="Z25" i="123"/>
  <c r="AL25" i="123" s="1"/>
  <c r="B34" i="123"/>
  <c r="Z22" i="123"/>
  <c r="AL22" i="123" s="1"/>
  <c r="B40" i="123"/>
  <c r="Z28" i="123"/>
  <c r="AL28" i="123" s="1"/>
  <c r="B31" i="123"/>
  <c r="Z19" i="123"/>
  <c r="AL19" i="123" s="1"/>
  <c r="B29" i="123"/>
  <c r="Z17" i="123"/>
  <c r="AL17" i="123" s="1"/>
  <c r="B33" i="123"/>
  <c r="Z21" i="123"/>
  <c r="AL21" i="123" s="1"/>
  <c r="P24" i="123"/>
  <c r="P25" i="123"/>
  <c r="P26" i="123"/>
  <c r="P20" i="123"/>
  <c r="P21" i="123"/>
  <c r="P27" i="123"/>
  <c r="P23" i="123"/>
  <c r="P22" i="123"/>
  <c r="P28" i="123"/>
  <c r="A68" i="123"/>
  <c r="A56" i="123"/>
  <c r="C21" i="123"/>
  <c r="C32" i="123"/>
  <c r="C57" i="123"/>
  <c r="C105" i="123"/>
  <c r="C8" i="123"/>
  <c r="C93" i="123"/>
  <c r="C117" i="123"/>
  <c r="C45" i="123"/>
  <c r="C69" i="123"/>
  <c r="C81" i="123"/>
  <c r="K13" i="104"/>
  <c r="K15" i="104" s="1"/>
  <c r="B41" i="123" l="1"/>
  <c r="Z29" i="123"/>
  <c r="AL29" i="123" s="1"/>
  <c r="P31" i="123"/>
  <c r="B42" i="123"/>
  <c r="Z30" i="123"/>
  <c r="AL30" i="123" s="1"/>
  <c r="B43" i="123"/>
  <c r="Z31" i="123"/>
  <c r="AL31" i="123" s="1"/>
  <c r="P33" i="123"/>
  <c r="B49" i="123"/>
  <c r="Z37" i="123"/>
  <c r="AL37" i="123" s="1"/>
  <c r="P39" i="123"/>
  <c r="B51" i="123"/>
  <c r="Z39" i="123"/>
  <c r="AL39" i="123" s="1"/>
  <c r="P41" i="123"/>
  <c r="B50" i="123"/>
  <c r="Z38" i="123"/>
  <c r="AL38" i="123" s="1"/>
  <c r="P40" i="123"/>
  <c r="B48" i="123"/>
  <c r="Z36" i="123"/>
  <c r="AL36" i="123" s="1"/>
  <c r="P38" i="123"/>
  <c r="B52" i="123"/>
  <c r="Z40" i="123"/>
  <c r="AL40" i="123" s="1"/>
  <c r="P42" i="123"/>
  <c r="B46" i="123"/>
  <c r="Z34" i="123"/>
  <c r="AL34" i="123" s="1"/>
  <c r="P36" i="123"/>
  <c r="B47" i="123"/>
  <c r="Z35" i="123"/>
  <c r="AL35" i="123" s="1"/>
  <c r="P37" i="123"/>
  <c r="B44" i="123"/>
  <c r="Z32" i="123"/>
  <c r="AL32" i="123" s="1"/>
  <c r="P34" i="123"/>
  <c r="B45" i="123"/>
  <c r="Z33" i="123"/>
  <c r="AL33" i="123" s="1"/>
  <c r="P35" i="123"/>
  <c r="P32" i="123"/>
  <c r="A69" i="123"/>
  <c r="A57" i="123"/>
  <c r="C82" i="123"/>
  <c r="C33" i="123"/>
  <c r="C70" i="123"/>
  <c r="C9" i="123"/>
  <c r="C22" i="123"/>
  <c r="C94" i="123"/>
  <c r="C46" i="123"/>
  <c r="C106" i="123"/>
  <c r="C118" i="123"/>
  <c r="C58" i="123"/>
  <c r="Z46" i="123" l="1"/>
  <c r="AL46" i="123" s="1"/>
  <c r="B82" i="123"/>
  <c r="P49" i="123"/>
  <c r="B58" i="123"/>
  <c r="Z52" i="123"/>
  <c r="AL52" i="123" s="1"/>
  <c r="B64" i="123"/>
  <c r="B88" i="123"/>
  <c r="P55" i="123"/>
  <c r="Z51" i="123"/>
  <c r="AL51" i="123" s="1"/>
  <c r="B63" i="123"/>
  <c r="P54" i="123"/>
  <c r="B87" i="123"/>
  <c r="Z42" i="123"/>
  <c r="AL42" i="123" s="1"/>
  <c r="B54" i="123"/>
  <c r="B78" i="123"/>
  <c r="P45" i="123"/>
  <c r="Z47" i="123"/>
  <c r="AL47" i="123" s="1"/>
  <c r="B59" i="123"/>
  <c r="P50" i="123"/>
  <c r="B83" i="123"/>
  <c r="Z48" i="123"/>
  <c r="AL48" i="123" s="1"/>
  <c r="B60" i="123"/>
  <c r="P51" i="123"/>
  <c r="B84" i="123"/>
  <c r="Z50" i="123"/>
  <c r="AL50" i="123" s="1"/>
  <c r="P53" i="123"/>
  <c r="B86" i="123"/>
  <c r="B62" i="123"/>
  <c r="Z44" i="123"/>
  <c r="AL44" i="123" s="1"/>
  <c r="P47" i="123"/>
  <c r="B80" i="123"/>
  <c r="B56" i="123"/>
  <c r="Z43" i="123"/>
  <c r="AL43" i="123" s="1"/>
  <c r="P46" i="123"/>
  <c r="B55" i="123"/>
  <c r="B79" i="123"/>
  <c r="Z45" i="123"/>
  <c r="AL45" i="123" s="1"/>
  <c r="B57" i="123"/>
  <c r="B81" i="123"/>
  <c r="P48" i="123"/>
  <c r="Z49" i="123"/>
  <c r="AL49" i="123" s="1"/>
  <c r="B85" i="123"/>
  <c r="B61" i="123"/>
  <c r="P52" i="123"/>
  <c r="Z41" i="123"/>
  <c r="AL41" i="123" s="1"/>
  <c r="P44" i="123"/>
  <c r="B53" i="123"/>
  <c r="B77" i="123"/>
  <c r="A70" i="123"/>
  <c r="A58" i="123"/>
  <c r="C95" i="123"/>
  <c r="C119" i="123"/>
  <c r="C23" i="123"/>
  <c r="C83" i="123"/>
  <c r="C59" i="123"/>
  <c r="C34" i="123"/>
  <c r="C107" i="123"/>
  <c r="C10" i="123"/>
  <c r="C47" i="123"/>
  <c r="C71" i="123"/>
  <c r="B92" i="123" l="1"/>
  <c r="Z80" i="123"/>
  <c r="AL80" i="123" s="1"/>
  <c r="P86" i="123"/>
  <c r="B90" i="123"/>
  <c r="Z78" i="123"/>
  <c r="AL78" i="123" s="1"/>
  <c r="P84" i="123"/>
  <c r="B100" i="123"/>
  <c r="Z88" i="123"/>
  <c r="AL88" i="123" s="1"/>
  <c r="P94" i="123"/>
  <c r="B76" i="123"/>
  <c r="Z76" i="123" s="1"/>
  <c r="AL76" i="123" s="1"/>
  <c r="Z64" i="123"/>
  <c r="AL64" i="123" s="1"/>
  <c r="B89" i="123"/>
  <c r="Z77" i="123"/>
  <c r="AL77" i="123" s="1"/>
  <c r="P83" i="123"/>
  <c r="B96" i="123"/>
  <c r="Z84" i="123"/>
  <c r="AL84" i="123" s="1"/>
  <c r="P90" i="123"/>
  <c r="B69" i="123"/>
  <c r="Z57" i="123"/>
  <c r="AL57" i="123" s="1"/>
  <c r="B66" i="123"/>
  <c r="Z54" i="123"/>
  <c r="AL54" i="123" s="1"/>
  <c r="P58" i="123"/>
  <c r="P61" i="123"/>
  <c r="B74" i="123"/>
  <c r="Z74" i="123" s="1"/>
  <c r="AL74" i="123" s="1"/>
  <c r="Z62" i="123"/>
  <c r="AL62" i="123" s="1"/>
  <c r="B99" i="123"/>
  <c r="Z87" i="123"/>
  <c r="AL87" i="123" s="1"/>
  <c r="P93" i="123"/>
  <c r="B67" i="123"/>
  <c r="Z55" i="123"/>
  <c r="AL55" i="123" s="1"/>
  <c r="P59" i="123"/>
  <c r="B98" i="123"/>
  <c r="Z86" i="123"/>
  <c r="AL86" i="123" s="1"/>
  <c r="P92" i="123"/>
  <c r="B68" i="123"/>
  <c r="Z56" i="123"/>
  <c r="AL56" i="123" s="1"/>
  <c r="P60" i="123"/>
  <c r="B93" i="123"/>
  <c r="Z81" i="123"/>
  <c r="AL81" i="123" s="1"/>
  <c r="P87" i="123"/>
  <c r="B72" i="123"/>
  <c r="Z72" i="123" s="1"/>
  <c r="AL72" i="123" s="1"/>
  <c r="Z60" i="123"/>
  <c r="AL60" i="123" s="1"/>
  <c r="B70" i="123"/>
  <c r="Z70" i="123" s="1"/>
  <c r="AL70" i="123" s="1"/>
  <c r="Z58" i="123"/>
  <c r="AL58" i="123" s="1"/>
  <c r="B75" i="123"/>
  <c r="Z75" i="123" s="1"/>
  <c r="AL75" i="123" s="1"/>
  <c r="Z63" i="123"/>
  <c r="AL63" i="123" s="1"/>
  <c r="B94" i="123"/>
  <c r="Z82" i="123"/>
  <c r="AL82" i="123" s="1"/>
  <c r="P88" i="123"/>
  <c r="B65" i="123"/>
  <c r="Z53" i="123"/>
  <c r="AL53" i="123" s="1"/>
  <c r="P57" i="123"/>
  <c r="B91" i="123"/>
  <c r="Z79" i="123"/>
  <c r="AL79" i="123" s="1"/>
  <c r="P85" i="123"/>
  <c r="B95" i="123"/>
  <c r="Z83" i="123"/>
  <c r="AL83" i="123" s="1"/>
  <c r="P89" i="123"/>
  <c r="B73" i="123"/>
  <c r="Z73" i="123" s="1"/>
  <c r="AL73" i="123" s="1"/>
  <c r="Z61" i="123"/>
  <c r="AL61" i="123" s="1"/>
  <c r="B97" i="123"/>
  <c r="Z85" i="123"/>
  <c r="AL85" i="123" s="1"/>
  <c r="P91" i="123"/>
  <c r="B71" i="123"/>
  <c r="Z71" i="123" s="1"/>
  <c r="AL71" i="123" s="1"/>
  <c r="Z59" i="123"/>
  <c r="AL59" i="123" s="1"/>
  <c r="A71" i="123"/>
  <c r="P75" i="123"/>
  <c r="A59" i="123"/>
  <c r="P62" i="123"/>
  <c r="C11" i="123"/>
  <c r="C84" i="123"/>
  <c r="C108" i="123"/>
  <c r="C24" i="123"/>
  <c r="C72" i="123"/>
  <c r="C35" i="123"/>
  <c r="C120" i="123"/>
  <c r="C60" i="123"/>
  <c r="C48" i="123"/>
  <c r="C96" i="123"/>
  <c r="Z94" i="123" l="1"/>
  <c r="AL94" i="123" s="1"/>
  <c r="P101" i="123"/>
  <c r="B106" i="123"/>
  <c r="Z96" i="123"/>
  <c r="AL96" i="123" s="1"/>
  <c r="B108" i="123"/>
  <c r="P103" i="123"/>
  <c r="Z100" i="123"/>
  <c r="AL100" i="123" s="1"/>
  <c r="B112" i="123"/>
  <c r="P107" i="123"/>
  <c r="Z98" i="123"/>
  <c r="AL98" i="123" s="1"/>
  <c r="B110" i="123"/>
  <c r="P105" i="123"/>
  <c r="Z91" i="123"/>
  <c r="AL91" i="123" s="1"/>
  <c r="B103" i="123"/>
  <c r="P98" i="123"/>
  <c r="Z67" i="123"/>
  <c r="AL67" i="123" s="1"/>
  <c r="P72" i="123"/>
  <c r="Z97" i="123"/>
  <c r="AL97" i="123" s="1"/>
  <c r="B109" i="123"/>
  <c r="P104" i="123"/>
  <c r="P71" i="123"/>
  <c r="Z66" i="123"/>
  <c r="AL66" i="123" s="1"/>
  <c r="Z89" i="123"/>
  <c r="AL89" i="123" s="1"/>
  <c r="B101" i="123"/>
  <c r="P96" i="123"/>
  <c r="Z90" i="123"/>
  <c r="AL90" i="123" s="1"/>
  <c r="B102" i="123"/>
  <c r="P97" i="123"/>
  <c r="Z68" i="123"/>
  <c r="AL68" i="123" s="1"/>
  <c r="P73" i="123"/>
  <c r="Z95" i="123"/>
  <c r="AL95" i="123" s="1"/>
  <c r="B107" i="123"/>
  <c r="P102" i="123"/>
  <c r="P70" i="123"/>
  <c r="Z65" i="123"/>
  <c r="AL65" i="123" s="1"/>
  <c r="Z99" i="123"/>
  <c r="AL99" i="123" s="1"/>
  <c r="B111" i="123"/>
  <c r="P106" i="123"/>
  <c r="Z69" i="123"/>
  <c r="AL69" i="123" s="1"/>
  <c r="P74" i="123"/>
  <c r="Z93" i="123"/>
  <c r="AL93" i="123" s="1"/>
  <c r="B105" i="123"/>
  <c r="P100" i="123"/>
  <c r="Z92" i="123"/>
  <c r="AL92" i="123" s="1"/>
  <c r="B104" i="123"/>
  <c r="P99" i="123"/>
  <c r="A72" i="123"/>
  <c r="P76" i="123"/>
  <c r="A60" i="123"/>
  <c r="P63" i="123"/>
  <c r="C25" i="123"/>
  <c r="C61" i="123"/>
  <c r="C121" i="123"/>
  <c r="C109" i="123"/>
  <c r="C97" i="123"/>
  <c r="C36" i="123"/>
  <c r="C85" i="123"/>
  <c r="C49" i="123"/>
  <c r="C73" i="123"/>
  <c r="C12" i="123"/>
  <c r="B119" i="123" l="1"/>
  <c r="Z119" i="123" s="1"/>
  <c r="AL119" i="123" s="1"/>
  <c r="Z107" i="123"/>
  <c r="AL107" i="123" s="1"/>
  <c r="B113" i="123"/>
  <c r="Z113" i="123" s="1"/>
  <c r="AL113" i="123" s="1"/>
  <c r="Z101" i="123"/>
  <c r="AL101" i="123" s="1"/>
  <c r="B124" i="123"/>
  <c r="Z124" i="123" s="1"/>
  <c r="AL124" i="123" s="1"/>
  <c r="Z112" i="123"/>
  <c r="AL112" i="123" s="1"/>
  <c r="B123" i="123"/>
  <c r="Z123" i="123" s="1"/>
  <c r="AL123" i="123" s="1"/>
  <c r="Z111" i="123"/>
  <c r="AL111" i="123" s="1"/>
  <c r="B114" i="123"/>
  <c r="Z114" i="123" s="1"/>
  <c r="AL114" i="123" s="1"/>
  <c r="Z102" i="123"/>
  <c r="AL102" i="123" s="1"/>
  <c r="B121" i="123"/>
  <c r="Z121" i="123" s="1"/>
  <c r="AL121" i="123" s="1"/>
  <c r="Z109" i="123"/>
  <c r="AL109" i="123" s="1"/>
  <c r="B122" i="123"/>
  <c r="Z122" i="123" s="1"/>
  <c r="AL122" i="123" s="1"/>
  <c r="Z110" i="123"/>
  <c r="AL110" i="123" s="1"/>
  <c r="B118" i="123"/>
  <c r="Z118" i="123" s="1"/>
  <c r="AL118" i="123" s="1"/>
  <c r="Z106" i="123"/>
  <c r="AL106" i="123" s="1"/>
  <c r="B115" i="123"/>
  <c r="Z115" i="123" s="1"/>
  <c r="AL115" i="123" s="1"/>
  <c r="Z103" i="123"/>
  <c r="AL103" i="123" s="1"/>
  <c r="B116" i="123"/>
  <c r="Z116" i="123" s="1"/>
  <c r="AL116" i="123" s="1"/>
  <c r="Z104" i="123"/>
  <c r="AL104" i="123" s="1"/>
  <c r="B117" i="123"/>
  <c r="Z117" i="123" s="1"/>
  <c r="AL117" i="123" s="1"/>
  <c r="Z105" i="123"/>
  <c r="AL105" i="123" s="1"/>
  <c r="B120" i="123"/>
  <c r="Z120" i="123" s="1"/>
  <c r="AL120" i="123" s="1"/>
  <c r="Z108" i="123"/>
  <c r="AL108" i="123" s="1"/>
  <c r="A73" i="123"/>
  <c r="P77" i="123"/>
  <c r="A61" i="123"/>
  <c r="P64" i="123"/>
  <c r="C37" i="123"/>
  <c r="C62" i="123"/>
  <c r="C26" i="123"/>
  <c r="C98" i="123"/>
  <c r="C13" i="123"/>
  <c r="C74" i="123"/>
  <c r="C50" i="123"/>
  <c r="C110" i="123"/>
  <c r="C86" i="123"/>
  <c r="C122" i="123"/>
  <c r="H11" i="104"/>
  <c r="H13" i="104" s="1"/>
  <c r="I11" i="104"/>
  <c r="I13" i="104" s="1"/>
  <c r="J11" i="104"/>
  <c r="J13" i="104" s="1"/>
  <c r="G11" i="104"/>
  <c r="G13" i="104" s="1"/>
  <c r="F11" i="104"/>
  <c r="F13" i="104" s="1"/>
  <c r="E11" i="104"/>
  <c r="E13" i="104"/>
  <c r="E3" i="148"/>
  <c r="A74" i="123" l="1"/>
  <c r="P78" i="123"/>
  <c r="A62" i="123"/>
  <c r="P65" i="123"/>
  <c r="C87" i="123"/>
  <c r="C14" i="123"/>
  <c r="C38" i="123"/>
  <c r="C75" i="123"/>
  <c r="C123" i="123"/>
  <c r="C63" i="123"/>
  <c r="C111" i="123"/>
  <c r="C99" i="123"/>
  <c r="C51" i="123"/>
  <c r="C27" i="123"/>
  <c r="A75" i="123" l="1"/>
  <c r="P79" i="123"/>
  <c r="A63" i="123"/>
  <c r="P66" i="123"/>
  <c r="C64" i="123"/>
  <c r="C52" i="123"/>
  <c r="C88" i="123"/>
  <c r="C28" i="123"/>
  <c r="C15" i="123"/>
  <c r="C124" i="123"/>
  <c r="C100" i="123"/>
  <c r="C76" i="123"/>
  <c r="C112" i="123"/>
  <c r="C39" i="123"/>
  <c r="A76" i="123" l="1"/>
  <c r="P81" i="123" s="1"/>
  <c r="P80" i="123"/>
  <c r="A64" i="123"/>
  <c r="P68" i="123" s="1"/>
  <c r="P67" i="123"/>
  <c r="C40" i="123"/>
  <c r="C16" i="123"/>
  <c r="B13" i="140" l="1"/>
  <c r="O8" i="107"/>
  <c r="P8" i="107"/>
  <c r="Q8" i="107"/>
  <c r="R8" i="107"/>
  <c r="S8" i="107"/>
  <c r="T8" i="107"/>
  <c r="U8" i="107"/>
  <c r="V8" i="107"/>
  <c r="W8" i="107"/>
  <c r="X8" i="107"/>
  <c r="Y8" i="107"/>
  <c r="Z8" i="107"/>
  <c r="AA8" i="107"/>
  <c r="AB8" i="107"/>
  <c r="AD8" i="107"/>
  <c r="AE8" i="107"/>
  <c r="AF8" i="107"/>
  <c r="AG8" i="107"/>
  <c r="AH8" i="107"/>
  <c r="AI8" i="107"/>
  <c r="AJ8" i="107"/>
  <c r="AK8" i="107"/>
  <c r="AL8" i="107"/>
  <c r="AM8" i="107"/>
  <c r="AN8" i="107"/>
  <c r="AO8" i="107"/>
  <c r="AP8" i="107"/>
  <c r="AQ8" i="107"/>
  <c r="AR8" i="107"/>
  <c r="AR25" i="107" s="1"/>
  <c r="AS8" i="107"/>
  <c r="AT8" i="107"/>
  <c r="AU8" i="107"/>
  <c r="AV8" i="107"/>
  <c r="AW8" i="107"/>
  <c r="AX8" i="107"/>
  <c r="AY8" i="107"/>
  <c r="AZ8" i="107"/>
  <c r="BA8" i="107"/>
  <c r="N8" i="107"/>
  <c r="H8" i="107"/>
  <c r="I8" i="107"/>
  <c r="J8" i="107"/>
  <c r="K8" i="107"/>
  <c r="L8" i="107"/>
  <c r="M8" i="107"/>
  <c r="E8" i="107"/>
  <c r="F8" i="107"/>
  <c r="G8" i="107"/>
  <c r="D8" i="107"/>
  <c r="AD24" i="107" l="1"/>
  <c r="AE24" i="107"/>
  <c r="AF24" i="107"/>
  <c r="AG24" i="107"/>
  <c r="AH24" i="107"/>
  <c r="AI24" i="107"/>
  <c r="AJ24" i="107"/>
  <c r="AK24" i="107"/>
  <c r="AL24" i="107"/>
  <c r="AM24" i="107"/>
  <c r="AN24" i="107"/>
  <c r="AO24" i="107"/>
  <c r="AP24" i="107"/>
  <c r="AQ24" i="107"/>
  <c r="AR24" i="107"/>
  <c r="AS24" i="107"/>
  <c r="AT24" i="107"/>
  <c r="AU24" i="107"/>
  <c r="AV24" i="107"/>
  <c r="AW24" i="107"/>
  <c r="AX24" i="107"/>
  <c r="AY24" i="107"/>
  <c r="AZ24" i="107"/>
  <c r="BA24" i="107"/>
  <c r="F3" i="148"/>
  <c r="G3" i="148"/>
  <c r="H3" i="148"/>
  <c r="I3" i="148"/>
  <c r="J3" i="148"/>
  <c r="K3" i="148"/>
  <c r="L3" i="148"/>
  <c r="M3" i="148"/>
  <c r="N3" i="148"/>
  <c r="AD19" i="107"/>
  <c r="AE19" i="107"/>
  <c r="AF19" i="107"/>
  <c r="AG19" i="107"/>
  <c r="AH19" i="107"/>
  <c r="AI19" i="107"/>
  <c r="AJ19" i="107"/>
  <c r="AK19" i="107"/>
  <c r="AL19" i="107"/>
  <c r="AM19" i="107"/>
  <c r="AN19" i="107"/>
  <c r="AO19" i="107"/>
  <c r="AP19" i="107"/>
  <c r="AQ19" i="107"/>
  <c r="AS19" i="107"/>
  <c r="AT19" i="107"/>
  <c r="AU19" i="107"/>
  <c r="AV19" i="107"/>
  <c r="AW19" i="107"/>
  <c r="AX19" i="107"/>
  <c r="AY19" i="107"/>
  <c r="AZ19" i="107"/>
  <c r="BA19" i="107"/>
  <c r="AD20" i="107"/>
  <c r="AE20" i="107"/>
  <c r="AF20" i="107"/>
  <c r="AG20" i="107"/>
  <c r="AH20" i="107"/>
  <c r="AI20" i="107"/>
  <c r="AJ20" i="107"/>
  <c r="AK20" i="107"/>
  <c r="AL20" i="107"/>
  <c r="AM20" i="107"/>
  <c r="AN20" i="107"/>
  <c r="AO20" i="107"/>
  <c r="AP20" i="107"/>
  <c r="AQ20" i="107"/>
  <c r="AS20" i="107"/>
  <c r="AT20" i="107"/>
  <c r="AU20" i="107"/>
  <c r="AV20" i="107"/>
  <c r="AW20" i="107"/>
  <c r="AX20" i="107"/>
  <c r="AY20" i="107"/>
  <c r="AZ20" i="107"/>
  <c r="BA20" i="107"/>
  <c r="AD21" i="107"/>
  <c r="AE21" i="107"/>
  <c r="AF21" i="107"/>
  <c r="AG21" i="107"/>
  <c r="AH21" i="107"/>
  <c r="AI21" i="107"/>
  <c r="AJ21" i="107"/>
  <c r="AK21" i="107"/>
  <c r="AL21" i="107"/>
  <c r="AM21" i="107"/>
  <c r="AN21" i="107"/>
  <c r="AO21" i="107"/>
  <c r="AP21" i="107"/>
  <c r="AQ21" i="107"/>
  <c r="AS21" i="107"/>
  <c r="AT21" i="107"/>
  <c r="AU21" i="107"/>
  <c r="AV21" i="107"/>
  <c r="AW21" i="107"/>
  <c r="AX21" i="107"/>
  <c r="AY21" i="107"/>
  <c r="AZ21" i="107"/>
  <c r="BA21" i="107"/>
  <c r="D9" i="106"/>
  <c r="AD13" i="107"/>
  <c r="AE13" i="107"/>
  <c r="AF13" i="107"/>
  <c r="AG13" i="107"/>
  <c r="AH13" i="107"/>
  <c r="AI13" i="107"/>
  <c r="AJ13" i="107"/>
  <c r="AK13" i="107"/>
  <c r="AL13" i="107"/>
  <c r="AM13" i="107"/>
  <c r="AN13" i="107"/>
  <c r="AO13" i="107"/>
  <c r="AP13" i="107"/>
  <c r="AQ13" i="107"/>
  <c r="AR13" i="107"/>
  <c r="AR19" i="107" s="1"/>
  <c r="AS13" i="107"/>
  <c r="AT13" i="107"/>
  <c r="AU13" i="107"/>
  <c r="AV13" i="107"/>
  <c r="AW13" i="107"/>
  <c r="AX13" i="107"/>
  <c r="AY13" i="107"/>
  <c r="AZ13" i="107"/>
  <c r="BA13" i="107"/>
  <c r="AD14" i="107"/>
  <c r="AE14" i="107"/>
  <c r="AF14" i="107"/>
  <c r="AG14" i="107"/>
  <c r="AH14" i="107"/>
  <c r="AI14" i="107"/>
  <c r="AJ14" i="107"/>
  <c r="AK14" i="107"/>
  <c r="AL14" i="107"/>
  <c r="AM14" i="107"/>
  <c r="AN14" i="107"/>
  <c r="AO14" i="107"/>
  <c r="AP14" i="107"/>
  <c r="AQ14" i="107"/>
  <c r="AR14" i="107"/>
  <c r="AR20" i="107" s="1"/>
  <c r="AS14" i="107"/>
  <c r="AT14" i="107"/>
  <c r="AU14" i="107"/>
  <c r="AV14" i="107"/>
  <c r="AW14" i="107"/>
  <c r="AX14" i="107"/>
  <c r="AY14" i="107"/>
  <c r="AZ14" i="107"/>
  <c r="BA14" i="107"/>
  <c r="AD15" i="107"/>
  <c r="AE15" i="107"/>
  <c r="AF15" i="107"/>
  <c r="AG15" i="107"/>
  <c r="AH15" i="107"/>
  <c r="AI15" i="107"/>
  <c r="AJ15" i="107"/>
  <c r="AK15" i="107"/>
  <c r="AL15" i="107"/>
  <c r="AM15" i="107"/>
  <c r="AN15" i="107"/>
  <c r="AO15" i="107"/>
  <c r="AP15" i="107"/>
  <c r="AQ15" i="107"/>
  <c r="AR15" i="107"/>
  <c r="AR21" i="107" s="1"/>
  <c r="AS15" i="107"/>
  <c r="AT15" i="107"/>
  <c r="AU15" i="107"/>
  <c r="AV15" i="107"/>
  <c r="AW15" i="107"/>
  <c r="AX15" i="107"/>
  <c r="AY15" i="107"/>
  <c r="AZ15" i="107"/>
  <c r="BA15" i="107"/>
  <c r="D14" i="106"/>
  <c r="E18" i="148"/>
  <c r="F18" i="148"/>
  <c r="G18" i="148"/>
  <c r="H18" i="148"/>
  <c r="I18" i="148"/>
  <c r="J18" i="148"/>
  <c r="K18" i="148"/>
  <c r="F12" i="104"/>
  <c r="F15" i="104" s="1"/>
  <c r="G12" i="104"/>
  <c r="H12" i="104"/>
  <c r="H15" i="104" s="1"/>
  <c r="I12" i="104"/>
  <c r="I15" i="104" s="1"/>
  <c r="J12" i="104"/>
  <c r="AB39" i="107"/>
  <c r="AD39" i="107"/>
  <c r="AE39" i="107"/>
  <c r="AF39" i="107"/>
  <c r="AG39" i="107"/>
  <c r="AH39" i="107"/>
  <c r="AI39" i="107"/>
  <c r="AJ39" i="107"/>
  <c r="AK39" i="107"/>
  <c r="AL39" i="107"/>
  <c r="AM39" i="107"/>
  <c r="AN39" i="107"/>
  <c r="AO39" i="107"/>
  <c r="AP39" i="107"/>
  <c r="AQ39" i="107"/>
  <c r="AS39" i="107"/>
  <c r="AT39" i="107"/>
  <c r="AU39" i="107"/>
  <c r="AV39" i="107"/>
  <c r="AW39" i="107"/>
  <c r="AX39" i="107"/>
  <c r="AY39" i="107"/>
  <c r="AZ39" i="107"/>
  <c r="BA39" i="107"/>
  <c r="AD42" i="107"/>
  <c r="AE42" i="107"/>
  <c r="AF42" i="107"/>
  <c r="AG42" i="107"/>
  <c r="AH42" i="107"/>
  <c r="AI42" i="107"/>
  <c r="AJ42" i="107"/>
  <c r="AK42" i="107"/>
  <c r="AL42" i="107"/>
  <c r="AM42" i="107"/>
  <c r="AN42" i="107"/>
  <c r="AO42" i="107"/>
  <c r="AP42" i="107"/>
  <c r="AQ42" i="107"/>
  <c r="AS42" i="107"/>
  <c r="AT42" i="107"/>
  <c r="AU42" i="107"/>
  <c r="AV42" i="107"/>
  <c r="AW42" i="107"/>
  <c r="AX42" i="107"/>
  <c r="AY42" i="107"/>
  <c r="AZ42" i="107"/>
  <c r="BA42" i="107"/>
  <c r="BB42" i="107" s="1"/>
  <c r="G22" i="148" l="1"/>
  <c r="G23" i="148" s="1"/>
  <c r="E22" i="148"/>
  <c r="H22" i="148"/>
  <c r="H23" i="148" s="1"/>
  <c r="I22" i="148"/>
  <c r="I23" i="148" s="1"/>
  <c r="J22" i="148"/>
  <c r="J23" i="148" s="1"/>
  <c r="K22" i="148"/>
  <c r="K23" i="148" s="1"/>
  <c r="N22" i="148"/>
  <c r="N23" i="148" s="1"/>
  <c r="L22" i="148"/>
  <c r="L23" i="148" s="1"/>
  <c r="M22" i="148"/>
  <c r="M23" i="148" s="1"/>
  <c r="F22" i="148"/>
  <c r="F23" i="148" s="1"/>
  <c r="C3" i="148"/>
  <c r="C18" i="148" s="1"/>
  <c r="E23" i="148" l="1"/>
  <c r="C3" i="104"/>
  <c r="D10" i="106"/>
  <c r="B31" i="128" s="1"/>
  <c r="L31" i="128" s="1"/>
  <c r="D13" i="106"/>
  <c r="D19" i="106"/>
  <c r="D18" i="123"/>
  <c r="D30" i="123" s="1"/>
  <c r="D42" i="123" s="1"/>
  <c r="D19" i="123"/>
  <c r="D31" i="123" s="1"/>
  <c r="D43" i="123" s="1"/>
  <c r="A73" i="107"/>
  <c r="A89" i="107" s="1"/>
  <c r="A104" i="107" s="1"/>
  <c r="A119" i="107" s="1"/>
  <c r="A136" i="107" s="1"/>
  <c r="A151" i="107" s="1"/>
  <c r="A166" i="107" s="1"/>
  <c r="A181" i="107" s="1"/>
  <c r="D21" i="123"/>
  <c r="D33" i="123" s="1"/>
  <c r="D45" i="123" s="1"/>
  <c r="D22" i="123"/>
  <c r="D34" i="123" s="1"/>
  <c r="D46" i="123" s="1"/>
  <c r="D23" i="123"/>
  <c r="D35" i="123" s="1"/>
  <c r="D47" i="123" s="1"/>
  <c r="D24" i="123"/>
  <c r="D36" i="123" s="1"/>
  <c r="D48" i="123" s="1"/>
  <c r="D25" i="123"/>
  <c r="D37" i="123" s="1"/>
  <c r="D49" i="123" s="1"/>
  <c r="D26" i="123"/>
  <c r="D38" i="123" s="1"/>
  <c r="D50" i="123" s="1"/>
  <c r="D27" i="123"/>
  <c r="D39" i="123" s="1"/>
  <c r="D51" i="123" s="1"/>
  <c r="A81" i="107"/>
  <c r="A97" i="107" s="1"/>
  <c r="A112" i="107" s="1"/>
  <c r="A127" i="107" s="1"/>
  <c r="A144" i="107" s="1"/>
  <c r="A159" i="107" s="1"/>
  <c r="A174" i="107" s="1"/>
  <c r="A189" i="107" s="1"/>
  <c r="D17" i="123"/>
  <c r="D29" i="123" s="1"/>
  <c r="D41" i="123" s="1"/>
  <c r="E15" i="104"/>
  <c r="D7" i="106"/>
  <c r="AD41" i="107"/>
  <c r="AE41" i="107"/>
  <c r="AF41" i="107"/>
  <c r="AG41" i="107"/>
  <c r="AH41" i="107"/>
  <c r="AI41" i="107"/>
  <c r="AJ41" i="107"/>
  <c r="AK41" i="107"/>
  <c r="AL41" i="107"/>
  <c r="AM41" i="107"/>
  <c r="AN41" i="107"/>
  <c r="AO41" i="107"/>
  <c r="AP41" i="107"/>
  <c r="AQ41" i="107"/>
  <c r="AS41" i="107"/>
  <c r="AT41" i="107"/>
  <c r="AU41" i="107"/>
  <c r="AV41" i="107"/>
  <c r="AW41" i="107"/>
  <c r="AX41" i="107"/>
  <c r="AY41" i="107"/>
  <c r="AZ41" i="107"/>
  <c r="BA41" i="107"/>
  <c r="M5" i="123"/>
  <c r="M17" i="123"/>
  <c r="M29" i="123"/>
  <c r="M41" i="123"/>
  <c r="M53" i="123"/>
  <c r="M65" i="123"/>
  <c r="M77" i="123"/>
  <c r="M89" i="123"/>
  <c r="M101" i="123"/>
  <c r="M113" i="123"/>
  <c r="M6" i="123"/>
  <c r="M18" i="123"/>
  <c r="M30" i="123"/>
  <c r="M42" i="123"/>
  <c r="M54" i="123"/>
  <c r="M66" i="123"/>
  <c r="M78" i="123"/>
  <c r="M90" i="123"/>
  <c r="M102" i="123"/>
  <c r="M114" i="123"/>
  <c r="M7" i="123"/>
  <c r="M19" i="123"/>
  <c r="M31" i="123"/>
  <c r="M43" i="123"/>
  <c r="M55" i="123"/>
  <c r="M67" i="123"/>
  <c r="M79" i="123"/>
  <c r="M91" i="123"/>
  <c r="M103" i="123"/>
  <c r="M115" i="123"/>
  <c r="M8" i="123"/>
  <c r="M20" i="123"/>
  <c r="M32" i="123"/>
  <c r="M44" i="123"/>
  <c r="M56" i="123"/>
  <c r="M68" i="123"/>
  <c r="M80" i="123"/>
  <c r="M92" i="123"/>
  <c r="M104" i="123"/>
  <c r="M116" i="123"/>
  <c r="M9" i="123"/>
  <c r="M21" i="123"/>
  <c r="M33" i="123"/>
  <c r="M45" i="123"/>
  <c r="M57" i="123"/>
  <c r="M69" i="123"/>
  <c r="M81" i="123"/>
  <c r="M93" i="123"/>
  <c r="M105" i="123"/>
  <c r="M117" i="123"/>
  <c r="M10" i="123"/>
  <c r="M22" i="123"/>
  <c r="M34" i="123"/>
  <c r="M46" i="123"/>
  <c r="M58" i="123"/>
  <c r="M70" i="123"/>
  <c r="M82" i="123"/>
  <c r="M94" i="123"/>
  <c r="M106" i="123"/>
  <c r="M118" i="123"/>
  <c r="M11" i="123"/>
  <c r="M23" i="123"/>
  <c r="M35" i="123"/>
  <c r="M47" i="123"/>
  <c r="M59" i="123"/>
  <c r="M71" i="123"/>
  <c r="M83" i="123"/>
  <c r="M95" i="123"/>
  <c r="M107" i="123"/>
  <c r="M119" i="123"/>
  <c r="M12" i="123"/>
  <c r="M24" i="123"/>
  <c r="M36" i="123"/>
  <c r="M48" i="123"/>
  <c r="M60" i="123"/>
  <c r="M72" i="123"/>
  <c r="M84" i="123"/>
  <c r="M96" i="123"/>
  <c r="M108" i="123"/>
  <c r="M120" i="123"/>
  <c r="M13" i="123"/>
  <c r="M25" i="123"/>
  <c r="M37" i="123"/>
  <c r="M49" i="123"/>
  <c r="M61" i="123"/>
  <c r="M73" i="123"/>
  <c r="M85" i="123"/>
  <c r="M97" i="123"/>
  <c r="M109" i="123"/>
  <c r="M121" i="123"/>
  <c r="M14" i="123"/>
  <c r="M26" i="123"/>
  <c r="M38" i="123"/>
  <c r="M50" i="123"/>
  <c r="M62" i="123"/>
  <c r="M74" i="123"/>
  <c r="M86" i="123"/>
  <c r="M98" i="123"/>
  <c r="M110" i="123"/>
  <c r="M122" i="123"/>
  <c r="M15" i="123"/>
  <c r="M27" i="123"/>
  <c r="M39" i="123"/>
  <c r="M51" i="123"/>
  <c r="M63" i="123"/>
  <c r="M75" i="123"/>
  <c r="M87" i="123"/>
  <c r="M99" i="123"/>
  <c r="M111" i="123"/>
  <c r="M123" i="123"/>
  <c r="M16" i="123"/>
  <c r="M28" i="123"/>
  <c r="M40" i="123"/>
  <c r="M52" i="123"/>
  <c r="M64" i="123"/>
  <c r="M76" i="123"/>
  <c r="M88" i="123"/>
  <c r="M100" i="123"/>
  <c r="M112" i="123"/>
  <c r="M124" i="123"/>
  <c r="L5" i="123"/>
  <c r="L17" i="123"/>
  <c r="L29" i="123"/>
  <c r="L41" i="123"/>
  <c r="L53" i="123"/>
  <c r="L65" i="123"/>
  <c r="L77" i="123"/>
  <c r="L89" i="123"/>
  <c r="L101" i="123"/>
  <c r="L113" i="123"/>
  <c r="L6" i="123"/>
  <c r="L18" i="123"/>
  <c r="L30" i="123"/>
  <c r="L42" i="123"/>
  <c r="L54" i="123"/>
  <c r="L66" i="123"/>
  <c r="L78" i="123"/>
  <c r="L90" i="123"/>
  <c r="L102" i="123"/>
  <c r="L114" i="123"/>
  <c r="L7" i="123"/>
  <c r="L19" i="123"/>
  <c r="L31" i="123"/>
  <c r="L43" i="123"/>
  <c r="L55" i="123"/>
  <c r="L67" i="123"/>
  <c r="L79" i="123"/>
  <c r="L91" i="123"/>
  <c r="L103" i="123"/>
  <c r="L115" i="123"/>
  <c r="L8" i="123"/>
  <c r="L20" i="123"/>
  <c r="L32" i="123"/>
  <c r="L44" i="123"/>
  <c r="L56" i="123"/>
  <c r="L68" i="123"/>
  <c r="L80" i="123"/>
  <c r="L92" i="123"/>
  <c r="L104" i="123"/>
  <c r="L116" i="123"/>
  <c r="L9" i="123"/>
  <c r="L21" i="123"/>
  <c r="L33" i="123"/>
  <c r="L45" i="123"/>
  <c r="L57" i="123"/>
  <c r="L69" i="123"/>
  <c r="L81" i="123"/>
  <c r="L93" i="123"/>
  <c r="L105" i="123"/>
  <c r="L117" i="123"/>
  <c r="L10" i="123"/>
  <c r="L22" i="123"/>
  <c r="L34" i="123"/>
  <c r="L46" i="123"/>
  <c r="L58" i="123"/>
  <c r="L70" i="123"/>
  <c r="L82" i="123"/>
  <c r="L94" i="123"/>
  <c r="L106" i="123"/>
  <c r="L118" i="123"/>
  <c r="L11" i="123"/>
  <c r="L23" i="123"/>
  <c r="L35" i="123"/>
  <c r="L47" i="123"/>
  <c r="L59" i="123"/>
  <c r="L71" i="123"/>
  <c r="L83" i="123"/>
  <c r="L95" i="123"/>
  <c r="L107" i="123"/>
  <c r="L119" i="123"/>
  <c r="L12" i="123"/>
  <c r="L24" i="123"/>
  <c r="L36" i="123"/>
  <c r="L48" i="123"/>
  <c r="L60" i="123"/>
  <c r="L72" i="123"/>
  <c r="L84" i="123"/>
  <c r="L96" i="123"/>
  <c r="L108" i="123"/>
  <c r="L120" i="123"/>
  <c r="L13" i="123"/>
  <c r="L25" i="123"/>
  <c r="L37" i="123"/>
  <c r="L49" i="123"/>
  <c r="L61" i="123"/>
  <c r="L73" i="123"/>
  <c r="L85" i="123"/>
  <c r="L97" i="123"/>
  <c r="L109" i="123"/>
  <c r="L121" i="123"/>
  <c r="L14" i="123"/>
  <c r="L26" i="123"/>
  <c r="L38" i="123"/>
  <c r="L50" i="123"/>
  <c r="L62" i="123"/>
  <c r="L74" i="123"/>
  <c r="L86" i="123"/>
  <c r="L98" i="123"/>
  <c r="L110" i="123"/>
  <c r="L122" i="123"/>
  <c r="L15" i="123"/>
  <c r="L27" i="123"/>
  <c r="L39" i="123"/>
  <c r="L51" i="123"/>
  <c r="L63" i="123"/>
  <c r="L75" i="123"/>
  <c r="L87" i="123"/>
  <c r="L99" i="123"/>
  <c r="L111" i="123"/>
  <c r="L123" i="123"/>
  <c r="L16" i="123"/>
  <c r="L28" i="123"/>
  <c r="L40" i="123"/>
  <c r="L52" i="123"/>
  <c r="L64" i="123"/>
  <c r="L76" i="123"/>
  <c r="L88" i="123"/>
  <c r="L100" i="123"/>
  <c r="L112" i="123"/>
  <c r="L124" i="123"/>
  <c r="E13" i="128"/>
  <c r="F13" i="128"/>
  <c r="G13" i="128"/>
  <c r="H13" i="128"/>
  <c r="I13" i="128"/>
  <c r="J13" i="128"/>
  <c r="K13" i="128"/>
  <c r="L13" i="128"/>
  <c r="M13" i="128"/>
  <c r="N13" i="128"/>
  <c r="O13" i="128"/>
  <c r="P13" i="128"/>
  <c r="Q13" i="128"/>
  <c r="R13" i="128"/>
  <c r="S13" i="128"/>
  <c r="T13" i="128"/>
  <c r="E14" i="128"/>
  <c r="F14" i="128"/>
  <c r="G14" i="128"/>
  <c r="H14" i="128"/>
  <c r="I14" i="128"/>
  <c r="J14" i="128"/>
  <c r="K14" i="128"/>
  <c r="L14" i="128"/>
  <c r="M14" i="128"/>
  <c r="N14" i="128"/>
  <c r="N25" i="128" s="1"/>
  <c r="O14" i="128"/>
  <c r="P14" i="128"/>
  <c r="Q14" i="128"/>
  <c r="R14" i="128"/>
  <c r="S14" i="128"/>
  <c r="T14" i="128"/>
  <c r="E15" i="128"/>
  <c r="F15" i="128"/>
  <c r="F26" i="128" s="1"/>
  <c r="G15" i="128"/>
  <c r="H15" i="128"/>
  <c r="I15" i="128"/>
  <c r="J15" i="128"/>
  <c r="K15" i="128"/>
  <c r="L15" i="128"/>
  <c r="M15" i="128"/>
  <c r="N15" i="128"/>
  <c r="N26" i="128" s="1"/>
  <c r="O15" i="128"/>
  <c r="P15" i="128"/>
  <c r="Q15" i="128"/>
  <c r="R15" i="128"/>
  <c r="S15" i="128"/>
  <c r="T15" i="128"/>
  <c r="E16" i="128"/>
  <c r="F16" i="128"/>
  <c r="F27" i="128" s="1"/>
  <c r="G16" i="128"/>
  <c r="H16" i="128"/>
  <c r="I16" i="128"/>
  <c r="J16" i="128"/>
  <c r="K16" i="128"/>
  <c r="L16" i="128"/>
  <c r="M16" i="128"/>
  <c r="N16" i="128"/>
  <c r="N27" i="128" s="1"/>
  <c r="O16" i="128"/>
  <c r="P16" i="128"/>
  <c r="Q16" i="128"/>
  <c r="R16" i="128"/>
  <c r="S16" i="128"/>
  <c r="T16" i="128"/>
  <c r="E17" i="128"/>
  <c r="F17" i="128"/>
  <c r="G17" i="128"/>
  <c r="H17" i="128"/>
  <c r="I17" i="128"/>
  <c r="J17" i="128"/>
  <c r="K17" i="128"/>
  <c r="L17" i="128"/>
  <c r="M17" i="128"/>
  <c r="N17" i="128"/>
  <c r="O17" i="128"/>
  <c r="P17" i="128"/>
  <c r="Q17" i="128"/>
  <c r="R17" i="128"/>
  <c r="S17" i="128"/>
  <c r="T17" i="128"/>
  <c r="E18" i="128"/>
  <c r="F18" i="128"/>
  <c r="F29" i="128" s="1"/>
  <c r="G18" i="128"/>
  <c r="H18" i="128"/>
  <c r="I18" i="128"/>
  <c r="J18" i="128"/>
  <c r="K18" i="128"/>
  <c r="L18" i="128"/>
  <c r="M18" i="128"/>
  <c r="N18" i="128"/>
  <c r="N29" i="128" s="1"/>
  <c r="O18" i="128"/>
  <c r="P18" i="128"/>
  <c r="Q18" i="128"/>
  <c r="R18" i="128"/>
  <c r="S18" i="128"/>
  <c r="T18" i="128"/>
  <c r="E19" i="128"/>
  <c r="F19" i="128"/>
  <c r="F30" i="128" s="1"/>
  <c r="G19" i="128"/>
  <c r="H19" i="128"/>
  <c r="I19" i="128"/>
  <c r="J19" i="128"/>
  <c r="K19" i="128"/>
  <c r="L19" i="128"/>
  <c r="M19" i="128"/>
  <c r="N19" i="128"/>
  <c r="O19" i="128"/>
  <c r="P19" i="128"/>
  <c r="Q19" i="128"/>
  <c r="R19" i="128"/>
  <c r="S19" i="128"/>
  <c r="T19" i="128"/>
  <c r="D14" i="128"/>
  <c r="D15" i="128"/>
  <c r="E26" i="128" s="1"/>
  <c r="D16" i="128"/>
  <c r="D17" i="128"/>
  <c r="L28" i="128" s="1"/>
  <c r="D18" i="128"/>
  <c r="D19" i="128"/>
  <c r="D13" i="128"/>
  <c r="O24" i="128" s="1"/>
  <c r="U9" i="128"/>
  <c r="U19" i="128" s="1"/>
  <c r="U8" i="128"/>
  <c r="U18" i="128" s="1"/>
  <c r="U7" i="128"/>
  <c r="U17" i="128" s="1"/>
  <c r="U6" i="128"/>
  <c r="U16" i="128" s="1"/>
  <c r="U27" i="128" s="1"/>
  <c r="U5" i="128"/>
  <c r="U15" i="128" s="1"/>
  <c r="U4" i="128"/>
  <c r="U14" i="128" s="1"/>
  <c r="U25" i="128" s="1"/>
  <c r="U3" i="128"/>
  <c r="U13" i="128" s="1"/>
  <c r="G15" i="104"/>
  <c r="J15" i="104"/>
  <c r="I1" i="123"/>
  <c r="R4" i="123" s="1"/>
  <c r="A114" i="107"/>
  <c r="J1" i="123" s="1"/>
  <c r="C35" i="107"/>
  <c r="J100" i="123"/>
  <c r="I100" i="123"/>
  <c r="R107" i="123" s="1"/>
  <c r="H100" i="123"/>
  <c r="Q107" i="123" s="1"/>
  <c r="E100" i="123"/>
  <c r="U107" i="123" s="1"/>
  <c r="J99" i="123"/>
  <c r="I99" i="123"/>
  <c r="R106" i="123" s="1"/>
  <c r="H99" i="123"/>
  <c r="Q106" i="123" s="1"/>
  <c r="E99" i="123"/>
  <c r="U106" i="123" s="1"/>
  <c r="J98" i="123"/>
  <c r="I98" i="123"/>
  <c r="R105" i="123" s="1"/>
  <c r="H98" i="123"/>
  <c r="Q105" i="123" s="1"/>
  <c r="E98" i="123"/>
  <c r="U105" i="123" s="1"/>
  <c r="J97" i="123"/>
  <c r="I97" i="123"/>
  <c r="R104" i="123" s="1"/>
  <c r="H97" i="123"/>
  <c r="Q104" i="123" s="1"/>
  <c r="E97" i="123"/>
  <c r="U104" i="123" s="1"/>
  <c r="J96" i="123"/>
  <c r="I96" i="123"/>
  <c r="R103" i="123" s="1"/>
  <c r="H96" i="123"/>
  <c r="Q103" i="123" s="1"/>
  <c r="E96" i="123"/>
  <c r="U103" i="123" s="1"/>
  <c r="J95" i="123"/>
  <c r="I95" i="123"/>
  <c r="R102" i="123" s="1"/>
  <c r="H95" i="123"/>
  <c r="Q102" i="123" s="1"/>
  <c r="E95" i="123"/>
  <c r="U102" i="123" s="1"/>
  <c r="J94" i="123"/>
  <c r="I94" i="123"/>
  <c r="R101" i="123" s="1"/>
  <c r="H94" i="123"/>
  <c r="Q101" i="123" s="1"/>
  <c r="E94" i="123"/>
  <c r="U101" i="123" s="1"/>
  <c r="J93" i="123"/>
  <c r="I93" i="123"/>
  <c r="R100" i="123" s="1"/>
  <c r="H93" i="123"/>
  <c r="Q100" i="123" s="1"/>
  <c r="E93" i="123"/>
  <c r="U100" i="123" s="1"/>
  <c r="J92" i="123"/>
  <c r="I92" i="123"/>
  <c r="R99" i="123" s="1"/>
  <c r="H92" i="123"/>
  <c r="Q99" i="123" s="1"/>
  <c r="E92" i="123"/>
  <c r="U99" i="123" s="1"/>
  <c r="J91" i="123"/>
  <c r="I91" i="123"/>
  <c r="R98" i="123" s="1"/>
  <c r="H91" i="123"/>
  <c r="Q98" i="123" s="1"/>
  <c r="E91" i="123"/>
  <c r="U98" i="123" s="1"/>
  <c r="J90" i="123"/>
  <c r="I90" i="123"/>
  <c r="R97" i="123" s="1"/>
  <c r="H90" i="123"/>
  <c r="Q97" i="123" s="1"/>
  <c r="E90" i="123"/>
  <c r="U97" i="123" s="1"/>
  <c r="J89" i="123"/>
  <c r="I89" i="123"/>
  <c r="R96" i="123" s="1"/>
  <c r="H89" i="123"/>
  <c r="Q96" i="123" s="1"/>
  <c r="E89" i="123"/>
  <c r="U96" i="123" s="1"/>
  <c r="J124" i="123"/>
  <c r="I124" i="123"/>
  <c r="H124" i="123"/>
  <c r="E124" i="123"/>
  <c r="J123" i="123"/>
  <c r="I123" i="123"/>
  <c r="H123" i="123"/>
  <c r="E123" i="123"/>
  <c r="J122" i="123"/>
  <c r="I122" i="123"/>
  <c r="H122" i="123"/>
  <c r="E122" i="123"/>
  <c r="J121" i="123"/>
  <c r="I121" i="123"/>
  <c r="H121" i="123"/>
  <c r="E121" i="123"/>
  <c r="J120" i="123"/>
  <c r="I120" i="123"/>
  <c r="H120" i="123"/>
  <c r="E120" i="123"/>
  <c r="J119" i="123"/>
  <c r="I119" i="123"/>
  <c r="H119" i="123"/>
  <c r="E119" i="123"/>
  <c r="J118" i="123"/>
  <c r="I118" i="123"/>
  <c r="H118" i="123"/>
  <c r="E118" i="123"/>
  <c r="J117" i="123"/>
  <c r="I117" i="123"/>
  <c r="H117" i="123"/>
  <c r="E117" i="123"/>
  <c r="J116" i="123"/>
  <c r="I116" i="123"/>
  <c r="H116" i="123"/>
  <c r="E116" i="123"/>
  <c r="J115" i="123"/>
  <c r="I115" i="123"/>
  <c r="H115" i="123"/>
  <c r="E115" i="123"/>
  <c r="J114" i="123"/>
  <c r="I114" i="123"/>
  <c r="H114" i="123"/>
  <c r="E114" i="123"/>
  <c r="J113" i="123"/>
  <c r="I113" i="123"/>
  <c r="H113" i="123"/>
  <c r="E113" i="123"/>
  <c r="J112" i="123"/>
  <c r="I112" i="123"/>
  <c r="H112" i="123"/>
  <c r="E112" i="123"/>
  <c r="J111" i="123"/>
  <c r="I111" i="123"/>
  <c r="H111" i="123"/>
  <c r="E111" i="123"/>
  <c r="J110" i="123"/>
  <c r="I110" i="123"/>
  <c r="H110" i="123"/>
  <c r="E110" i="123"/>
  <c r="J109" i="123"/>
  <c r="I109" i="123"/>
  <c r="H109" i="123"/>
  <c r="E109" i="123"/>
  <c r="J108" i="123"/>
  <c r="I108" i="123"/>
  <c r="H108" i="123"/>
  <c r="E108" i="123"/>
  <c r="J107" i="123"/>
  <c r="I107" i="123"/>
  <c r="H107" i="123"/>
  <c r="E107" i="123"/>
  <c r="J106" i="123"/>
  <c r="I106" i="123"/>
  <c r="H106" i="123"/>
  <c r="E106" i="123"/>
  <c r="J105" i="123"/>
  <c r="I105" i="123"/>
  <c r="H105" i="123"/>
  <c r="E105" i="123"/>
  <c r="J104" i="123"/>
  <c r="I104" i="123"/>
  <c r="H104" i="123"/>
  <c r="E104" i="123"/>
  <c r="J103" i="123"/>
  <c r="I103" i="123"/>
  <c r="H103" i="123"/>
  <c r="E103" i="123"/>
  <c r="J102" i="123"/>
  <c r="I102" i="123"/>
  <c r="H102" i="123"/>
  <c r="E102" i="123"/>
  <c r="J101" i="123"/>
  <c r="I101" i="123"/>
  <c r="H101" i="123"/>
  <c r="E101" i="123"/>
  <c r="F69" i="107"/>
  <c r="F85" i="107" s="1"/>
  <c r="F100" i="107" s="1"/>
  <c r="F115" i="107" s="1"/>
  <c r="F132" i="107" s="1"/>
  <c r="F147" i="107" s="1"/>
  <c r="F162" i="107" s="1"/>
  <c r="G69" i="107"/>
  <c r="G85" i="107" s="1"/>
  <c r="G100" i="107" s="1"/>
  <c r="G115" i="107" s="1"/>
  <c r="G132" i="107" s="1"/>
  <c r="G147" i="107" s="1"/>
  <c r="G162" i="107" s="1"/>
  <c r="A47" i="107"/>
  <c r="J88" i="123"/>
  <c r="I88" i="123"/>
  <c r="R94" i="123" s="1"/>
  <c r="H88" i="123"/>
  <c r="Q94" i="123" s="1"/>
  <c r="E88" i="123"/>
  <c r="U94" i="123" s="1"/>
  <c r="J87" i="123"/>
  <c r="I87" i="123"/>
  <c r="R93" i="123" s="1"/>
  <c r="H87" i="123"/>
  <c r="Q93" i="123" s="1"/>
  <c r="E87" i="123"/>
  <c r="U93" i="123" s="1"/>
  <c r="J86" i="123"/>
  <c r="I86" i="123"/>
  <c r="R92" i="123" s="1"/>
  <c r="H86" i="123"/>
  <c r="Q92" i="123" s="1"/>
  <c r="E86" i="123"/>
  <c r="U92" i="123" s="1"/>
  <c r="J85" i="123"/>
  <c r="I85" i="123"/>
  <c r="R91" i="123" s="1"/>
  <c r="H85" i="123"/>
  <c r="Q91" i="123" s="1"/>
  <c r="E85" i="123"/>
  <c r="U91" i="123" s="1"/>
  <c r="J84" i="123"/>
  <c r="I84" i="123"/>
  <c r="R90" i="123" s="1"/>
  <c r="H84" i="123"/>
  <c r="Q90" i="123" s="1"/>
  <c r="E84" i="123"/>
  <c r="U90" i="123" s="1"/>
  <c r="J83" i="123"/>
  <c r="I83" i="123"/>
  <c r="R89" i="123" s="1"/>
  <c r="H83" i="123"/>
  <c r="Q89" i="123" s="1"/>
  <c r="E83" i="123"/>
  <c r="U89" i="123" s="1"/>
  <c r="J82" i="123"/>
  <c r="I82" i="123"/>
  <c r="R88" i="123" s="1"/>
  <c r="H82" i="123"/>
  <c r="Q88" i="123" s="1"/>
  <c r="E82" i="123"/>
  <c r="U88" i="123" s="1"/>
  <c r="J81" i="123"/>
  <c r="I81" i="123"/>
  <c r="R87" i="123" s="1"/>
  <c r="H81" i="123"/>
  <c r="Q87" i="123" s="1"/>
  <c r="E81" i="123"/>
  <c r="U87" i="123" s="1"/>
  <c r="J80" i="123"/>
  <c r="I80" i="123"/>
  <c r="R86" i="123" s="1"/>
  <c r="H80" i="123"/>
  <c r="Q86" i="123" s="1"/>
  <c r="E80" i="123"/>
  <c r="U86" i="123" s="1"/>
  <c r="J79" i="123"/>
  <c r="I79" i="123"/>
  <c r="R85" i="123" s="1"/>
  <c r="H79" i="123"/>
  <c r="Q85" i="123" s="1"/>
  <c r="E79" i="123"/>
  <c r="U85" i="123" s="1"/>
  <c r="J78" i="123"/>
  <c r="I78" i="123"/>
  <c r="R84" i="123" s="1"/>
  <c r="H78" i="123"/>
  <c r="Q84" i="123" s="1"/>
  <c r="E78" i="123"/>
  <c r="U84" i="123" s="1"/>
  <c r="J77" i="123"/>
  <c r="I77" i="123"/>
  <c r="R83" i="123" s="1"/>
  <c r="H77" i="123"/>
  <c r="Q83" i="123" s="1"/>
  <c r="E77" i="123"/>
  <c r="U83" i="123" s="1"/>
  <c r="B25" i="128"/>
  <c r="B26" i="128"/>
  <c r="B27" i="128"/>
  <c r="B28" i="128"/>
  <c r="B29" i="128"/>
  <c r="B30" i="128"/>
  <c r="B24" i="128"/>
  <c r="L25" i="128"/>
  <c r="I27" i="128"/>
  <c r="Q27" i="128"/>
  <c r="J28" i="128"/>
  <c r="L29" i="128"/>
  <c r="M29" i="128"/>
  <c r="E25" i="128"/>
  <c r="E29" i="128"/>
  <c r="F25" i="128"/>
  <c r="L30" i="128"/>
  <c r="R29" i="128"/>
  <c r="J29" i="128"/>
  <c r="R25" i="128"/>
  <c r="J25" i="128"/>
  <c r="O27" i="128"/>
  <c r="Q29" i="128"/>
  <c r="I29" i="128"/>
  <c r="M27" i="128"/>
  <c r="Q25" i="128"/>
  <c r="I25" i="128"/>
  <c r="L27" i="128"/>
  <c r="M30" i="128"/>
  <c r="G27" i="128"/>
  <c r="E27" i="128"/>
  <c r="Q30" i="128"/>
  <c r="I30" i="128"/>
  <c r="O29" i="128"/>
  <c r="G29" i="128"/>
  <c r="O25" i="128"/>
  <c r="G25" i="128"/>
  <c r="N30" i="128"/>
  <c r="R27" i="128"/>
  <c r="J27" i="128"/>
  <c r="E30" i="128"/>
  <c r="O30" i="128"/>
  <c r="G30" i="128"/>
  <c r="G26" i="128"/>
  <c r="M25" i="128"/>
  <c r="J30" i="128"/>
  <c r="R30" i="128"/>
  <c r="H1" i="123"/>
  <c r="Q4" i="123" s="1"/>
  <c r="I65" i="123"/>
  <c r="R70" i="123" s="1"/>
  <c r="I66" i="123"/>
  <c r="R71" i="123" s="1"/>
  <c r="I67" i="123"/>
  <c r="R72" i="123" s="1"/>
  <c r="I68" i="123"/>
  <c r="R73" i="123" s="1"/>
  <c r="I69" i="123"/>
  <c r="R74" i="123" s="1"/>
  <c r="I70" i="123"/>
  <c r="R75" i="123" s="1"/>
  <c r="I71" i="123"/>
  <c r="R76" i="123" s="1"/>
  <c r="I72" i="123"/>
  <c r="R77" i="123" s="1"/>
  <c r="I73" i="123"/>
  <c r="R78" i="123" s="1"/>
  <c r="I74" i="123"/>
  <c r="R79" i="123" s="1"/>
  <c r="I75" i="123"/>
  <c r="R80" i="123" s="1"/>
  <c r="I76" i="123"/>
  <c r="R81" i="123" s="1"/>
  <c r="J65" i="123"/>
  <c r="J66" i="123"/>
  <c r="J67" i="123"/>
  <c r="J68" i="123"/>
  <c r="J69" i="123"/>
  <c r="J70" i="123"/>
  <c r="J71" i="123"/>
  <c r="J72" i="123"/>
  <c r="J73" i="123"/>
  <c r="J74" i="123"/>
  <c r="J75" i="123"/>
  <c r="J76" i="123"/>
  <c r="I5" i="123"/>
  <c r="R5" i="123" s="1"/>
  <c r="I17" i="123"/>
  <c r="R18" i="123" s="1"/>
  <c r="I29" i="123"/>
  <c r="R31" i="123" s="1"/>
  <c r="I41" i="123"/>
  <c r="R44" i="123" s="1"/>
  <c r="I53" i="123"/>
  <c r="R57" i="123" s="1"/>
  <c r="I6" i="123"/>
  <c r="R6" i="123" s="1"/>
  <c r="I18" i="123"/>
  <c r="R19" i="123" s="1"/>
  <c r="I30" i="123"/>
  <c r="R32" i="123" s="1"/>
  <c r="I42" i="123"/>
  <c r="R45" i="123" s="1"/>
  <c r="I54" i="123"/>
  <c r="R58" i="123" s="1"/>
  <c r="I7" i="123"/>
  <c r="R7" i="123" s="1"/>
  <c r="I19" i="123"/>
  <c r="R20" i="123" s="1"/>
  <c r="I31" i="123"/>
  <c r="R33" i="123" s="1"/>
  <c r="I43" i="123"/>
  <c r="R46" i="123" s="1"/>
  <c r="I55" i="123"/>
  <c r="R59" i="123" s="1"/>
  <c r="I8" i="123"/>
  <c r="R8" i="123" s="1"/>
  <c r="I20" i="123"/>
  <c r="R21" i="123" s="1"/>
  <c r="I32" i="123"/>
  <c r="R34" i="123" s="1"/>
  <c r="I44" i="123"/>
  <c r="R47" i="123" s="1"/>
  <c r="I56" i="123"/>
  <c r="R60" i="123" s="1"/>
  <c r="I9" i="123"/>
  <c r="R9" i="123" s="1"/>
  <c r="I21" i="123"/>
  <c r="R22" i="123" s="1"/>
  <c r="I33" i="123"/>
  <c r="R35" i="123" s="1"/>
  <c r="I45" i="123"/>
  <c r="R48" i="123" s="1"/>
  <c r="I57" i="123"/>
  <c r="R61" i="123" s="1"/>
  <c r="I10" i="123"/>
  <c r="R10" i="123" s="1"/>
  <c r="I22" i="123"/>
  <c r="R23" i="123" s="1"/>
  <c r="I34" i="123"/>
  <c r="R36" i="123" s="1"/>
  <c r="I46" i="123"/>
  <c r="R49" i="123" s="1"/>
  <c r="I58" i="123"/>
  <c r="R62" i="123" s="1"/>
  <c r="I11" i="123"/>
  <c r="R11" i="123" s="1"/>
  <c r="I23" i="123"/>
  <c r="R24" i="123" s="1"/>
  <c r="I35" i="123"/>
  <c r="R37" i="123" s="1"/>
  <c r="I47" i="123"/>
  <c r="R50" i="123" s="1"/>
  <c r="I59" i="123"/>
  <c r="R63" i="123" s="1"/>
  <c r="I12" i="123"/>
  <c r="R12" i="123" s="1"/>
  <c r="I24" i="123"/>
  <c r="R25" i="123" s="1"/>
  <c r="I36" i="123"/>
  <c r="R38" i="123" s="1"/>
  <c r="I48" i="123"/>
  <c r="R51" i="123" s="1"/>
  <c r="I60" i="123"/>
  <c r="R64" i="123" s="1"/>
  <c r="I13" i="123"/>
  <c r="R13" i="123" s="1"/>
  <c r="I25" i="123"/>
  <c r="R26" i="123" s="1"/>
  <c r="I37" i="123"/>
  <c r="R39" i="123" s="1"/>
  <c r="I49" i="123"/>
  <c r="R52" i="123" s="1"/>
  <c r="I61" i="123"/>
  <c r="R65" i="123" s="1"/>
  <c r="I14" i="123"/>
  <c r="R14" i="123" s="1"/>
  <c r="I26" i="123"/>
  <c r="R27" i="123" s="1"/>
  <c r="I38" i="123"/>
  <c r="R40" i="123" s="1"/>
  <c r="I50" i="123"/>
  <c r="R53" i="123" s="1"/>
  <c r="I62" i="123"/>
  <c r="R66" i="123" s="1"/>
  <c r="I15" i="123"/>
  <c r="R15" i="123" s="1"/>
  <c r="I27" i="123"/>
  <c r="R28" i="123" s="1"/>
  <c r="I39" i="123"/>
  <c r="R41" i="123" s="1"/>
  <c r="I51" i="123"/>
  <c r="R54" i="123" s="1"/>
  <c r="I63" i="123"/>
  <c r="R67" i="123" s="1"/>
  <c r="I16" i="123"/>
  <c r="R16" i="123" s="1"/>
  <c r="I28" i="123"/>
  <c r="R29" i="123" s="1"/>
  <c r="I40" i="123"/>
  <c r="R42" i="123" s="1"/>
  <c r="I52" i="123"/>
  <c r="R55" i="123" s="1"/>
  <c r="I64" i="123"/>
  <c r="R68" i="123" s="1"/>
  <c r="J5" i="123"/>
  <c r="J17" i="123"/>
  <c r="J29" i="123"/>
  <c r="J41" i="123"/>
  <c r="J53" i="123"/>
  <c r="J6" i="123"/>
  <c r="J18" i="123"/>
  <c r="J30" i="123"/>
  <c r="J42" i="123"/>
  <c r="J54" i="123"/>
  <c r="J7" i="123"/>
  <c r="J19" i="123"/>
  <c r="J31" i="123"/>
  <c r="J43" i="123"/>
  <c r="J55" i="123"/>
  <c r="J8" i="123"/>
  <c r="J20" i="123"/>
  <c r="J32" i="123"/>
  <c r="J44" i="123"/>
  <c r="J56" i="123"/>
  <c r="J9" i="123"/>
  <c r="J21" i="123"/>
  <c r="J33" i="123"/>
  <c r="J45" i="123"/>
  <c r="J57" i="123"/>
  <c r="J10" i="123"/>
  <c r="J22" i="123"/>
  <c r="J34" i="123"/>
  <c r="J46" i="123"/>
  <c r="J58" i="123"/>
  <c r="J11" i="123"/>
  <c r="J23" i="123"/>
  <c r="J35" i="123"/>
  <c r="J47" i="123"/>
  <c r="J59" i="123"/>
  <c r="J12" i="123"/>
  <c r="J24" i="123"/>
  <c r="J36" i="123"/>
  <c r="J48" i="123"/>
  <c r="J60" i="123"/>
  <c r="J13" i="123"/>
  <c r="J25" i="123"/>
  <c r="J37" i="123"/>
  <c r="J49" i="123"/>
  <c r="J61" i="123"/>
  <c r="J14" i="123"/>
  <c r="J26" i="123"/>
  <c r="J38" i="123"/>
  <c r="J50" i="123"/>
  <c r="J62" i="123"/>
  <c r="J15" i="123"/>
  <c r="J27" i="123"/>
  <c r="J39" i="123"/>
  <c r="J51" i="123"/>
  <c r="J63" i="123"/>
  <c r="J16" i="123"/>
  <c r="J28" i="123"/>
  <c r="J40" i="123"/>
  <c r="J52" i="123"/>
  <c r="J64" i="123"/>
  <c r="E66" i="123"/>
  <c r="U71" i="123" s="1"/>
  <c r="H66" i="123"/>
  <c r="Q71" i="123" s="1"/>
  <c r="E67" i="123"/>
  <c r="U72" i="123" s="1"/>
  <c r="H67" i="123"/>
  <c r="Q72" i="123" s="1"/>
  <c r="E68" i="123"/>
  <c r="U73" i="123" s="1"/>
  <c r="H68" i="123"/>
  <c r="Q73" i="123" s="1"/>
  <c r="E69" i="123"/>
  <c r="U74" i="123" s="1"/>
  <c r="H69" i="123"/>
  <c r="Q74" i="123" s="1"/>
  <c r="E70" i="123"/>
  <c r="U75" i="123" s="1"/>
  <c r="H70" i="123"/>
  <c r="Q75" i="123" s="1"/>
  <c r="E71" i="123"/>
  <c r="U76" i="123" s="1"/>
  <c r="H71" i="123"/>
  <c r="Q76" i="123" s="1"/>
  <c r="E72" i="123"/>
  <c r="U77" i="123" s="1"/>
  <c r="H72" i="123"/>
  <c r="Q77" i="123" s="1"/>
  <c r="E73" i="123"/>
  <c r="U78" i="123" s="1"/>
  <c r="H73" i="123"/>
  <c r="Q78" i="123" s="1"/>
  <c r="E74" i="123"/>
  <c r="U79" i="123" s="1"/>
  <c r="H74" i="123"/>
  <c r="Q79" i="123" s="1"/>
  <c r="E75" i="123"/>
  <c r="U80" i="123" s="1"/>
  <c r="H75" i="123"/>
  <c r="Q80" i="123" s="1"/>
  <c r="E76" i="123"/>
  <c r="U81" i="123" s="1"/>
  <c r="H76" i="123"/>
  <c r="Q81" i="123" s="1"/>
  <c r="E54" i="123"/>
  <c r="U58" i="123" s="1"/>
  <c r="H54" i="123"/>
  <c r="Q58" i="123" s="1"/>
  <c r="E55" i="123"/>
  <c r="U59" i="123" s="1"/>
  <c r="H55" i="123"/>
  <c r="Q59" i="123" s="1"/>
  <c r="E56" i="123"/>
  <c r="U60" i="123" s="1"/>
  <c r="H56" i="123"/>
  <c r="Q60" i="123" s="1"/>
  <c r="E57" i="123"/>
  <c r="U61" i="123" s="1"/>
  <c r="H57" i="123"/>
  <c r="Q61" i="123" s="1"/>
  <c r="E58" i="123"/>
  <c r="U62" i="123" s="1"/>
  <c r="H58" i="123"/>
  <c r="Q62" i="123" s="1"/>
  <c r="E59" i="123"/>
  <c r="U63" i="123" s="1"/>
  <c r="H59" i="123"/>
  <c r="Q63" i="123" s="1"/>
  <c r="E60" i="123"/>
  <c r="U64" i="123" s="1"/>
  <c r="H60" i="123"/>
  <c r="Q64" i="123" s="1"/>
  <c r="E61" i="123"/>
  <c r="U65" i="123" s="1"/>
  <c r="H61" i="123"/>
  <c r="Q65" i="123" s="1"/>
  <c r="E62" i="123"/>
  <c r="U66" i="123" s="1"/>
  <c r="H62" i="123"/>
  <c r="Q66" i="123" s="1"/>
  <c r="E63" i="123"/>
  <c r="U67" i="123" s="1"/>
  <c r="H63" i="123"/>
  <c r="Q67" i="123" s="1"/>
  <c r="E64" i="123"/>
  <c r="U68" i="123" s="1"/>
  <c r="H64" i="123"/>
  <c r="Q68" i="123" s="1"/>
  <c r="E65" i="123"/>
  <c r="U70" i="123" s="1"/>
  <c r="H65" i="123"/>
  <c r="Q70" i="123" s="1"/>
  <c r="H53" i="123"/>
  <c r="Q57" i="123" s="1"/>
  <c r="E53" i="123"/>
  <c r="U57" i="123" s="1"/>
  <c r="K69" i="107"/>
  <c r="K85" i="107" s="1"/>
  <c r="K100" i="107" s="1"/>
  <c r="K115" i="107" s="1"/>
  <c r="K132" i="107" s="1"/>
  <c r="K147" i="107" s="1"/>
  <c r="K162" i="107" s="1"/>
  <c r="H69" i="107"/>
  <c r="H85" i="107" s="1"/>
  <c r="H100" i="107" s="1"/>
  <c r="H115" i="107" s="1"/>
  <c r="H132" i="107" s="1"/>
  <c r="H147" i="107" s="1"/>
  <c r="H162" i="107" s="1"/>
  <c r="I69" i="107"/>
  <c r="I85" i="107" s="1"/>
  <c r="I100" i="107" s="1"/>
  <c r="I115" i="107" s="1"/>
  <c r="I132" i="107" s="1"/>
  <c r="I147" i="107" s="1"/>
  <c r="I162" i="107" s="1"/>
  <c r="J69" i="107"/>
  <c r="J85" i="107" s="1"/>
  <c r="J100" i="107" s="1"/>
  <c r="J115" i="107" s="1"/>
  <c r="J132" i="107" s="1"/>
  <c r="J147" i="107" s="1"/>
  <c r="J162" i="107" s="1"/>
  <c r="H42" i="123"/>
  <c r="Q45" i="123" s="1"/>
  <c r="H43" i="123"/>
  <c r="Q46" i="123" s="1"/>
  <c r="H44" i="123"/>
  <c r="Q47" i="123" s="1"/>
  <c r="H45" i="123"/>
  <c r="Q48" i="123" s="1"/>
  <c r="H46" i="123"/>
  <c r="Q49" i="123" s="1"/>
  <c r="H47" i="123"/>
  <c r="Q50" i="123" s="1"/>
  <c r="H48" i="123"/>
  <c r="Q51" i="123" s="1"/>
  <c r="H49" i="123"/>
  <c r="Q52" i="123" s="1"/>
  <c r="H50" i="123"/>
  <c r="Q53" i="123" s="1"/>
  <c r="H51" i="123"/>
  <c r="Q54" i="123" s="1"/>
  <c r="H52" i="123"/>
  <c r="Q55" i="123" s="1"/>
  <c r="H41" i="123"/>
  <c r="Q44" i="123" s="1"/>
  <c r="H30" i="123"/>
  <c r="Q32" i="123" s="1"/>
  <c r="H31" i="123"/>
  <c r="Q33" i="123" s="1"/>
  <c r="H32" i="123"/>
  <c r="Q34" i="123" s="1"/>
  <c r="H33" i="123"/>
  <c r="Q35" i="123" s="1"/>
  <c r="H34" i="123"/>
  <c r="Q36" i="123" s="1"/>
  <c r="H35" i="123"/>
  <c r="Q37" i="123" s="1"/>
  <c r="H36" i="123"/>
  <c r="Q38" i="123" s="1"/>
  <c r="H37" i="123"/>
  <c r="Q39" i="123" s="1"/>
  <c r="H38" i="123"/>
  <c r="Q40" i="123" s="1"/>
  <c r="H39" i="123"/>
  <c r="Q41" i="123" s="1"/>
  <c r="H40" i="123"/>
  <c r="Q42" i="123" s="1"/>
  <c r="H29" i="123"/>
  <c r="Q31" i="123" s="1"/>
  <c r="H18" i="123"/>
  <c r="Q19" i="123" s="1"/>
  <c r="H19" i="123"/>
  <c r="Q20" i="123" s="1"/>
  <c r="H20" i="123"/>
  <c r="Q21" i="123" s="1"/>
  <c r="H21" i="123"/>
  <c r="Q22" i="123" s="1"/>
  <c r="H22" i="123"/>
  <c r="Q23" i="123" s="1"/>
  <c r="H23" i="123"/>
  <c r="Q24" i="123" s="1"/>
  <c r="H24" i="123"/>
  <c r="Q25" i="123" s="1"/>
  <c r="H25" i="123"/>
  <c r="Q26" i="123" s="1"/>
  <c r="H26" i="123"/>
  <c r="Q27" i="123" s="1"/>
  <c r="H27" i="123"/>
  <c r="Q28" i="123" s="1"/>
  <c r="H28" i="123"/>
  <c r="Q29" i="123" s="1"/>
  <c r="H17" i="123"/>
  <c r="Q18" i="123" s="1"/>
  <c r="H16" i="123"/>
  <c r="Q16" i="123" s="1"/>
  <c r="H15" i="123"/>
  <c r="Q15" i="123" s="1"/>
  <c r="H14" i="123"/>
  <c r="Q14" i="123" s="1"/>
  <c r="H13" i="123"/>
  <c r="Q13" i="123" s="1"/>
  <c r="H12" i="123"/>
  <c r="Q12" i="123" s="1"/>
  <c r="H11" i="123"/>
  <c r="Q11" i="123" s="1"/>
  <c r="H10" i="123"/>
  <c r="Q10" i="123" s="1"/>
  <c r="H9" i="123"/>
  <c r="Q9" i="123" s="1"/>
  <c r="H8" i="123"/>
  <c r="Q8" i="123" s="1"/>
  <c r="H7" i="123"/>
  <c r="Q7" i="123" s="1"/>
  <c r="H6" i="123"/>
  <c r="Q6" i="123" s="1"/>
  <c r="H5" i="123"/>
  <c r="Q5" i="123" s="1"/>
  <c r="C3" i="123"/>
  <c r="D3" i="123"/>
  <c r="C69" i="107"/>
  <c r="C85" i="107" s="1"/>
  <c r="C100" i="107" s="1"/>
  <c r="C115" i="107" s="1"/>
  <c r="C132" i="107" s="1"/>
  <c r="C147" i="107" s="1"/>
  <c r="C162" i="107" s="1"/>
  <c r="D69" i="107"/>
  <c r="D85" i="107" s="1"/>
  <c r="D100" i="107" s="1"/>
  <c r="D115" i="107" s="1"/>
  <c r="D132" i="107" s="1"/>
  <c r="D147" i="107" s="1"/>
  <c r="D162" i="107" s="1"/>
  <c r="E69" i="107"/>
  <c r="E85" i="107" s="1"/>
  <c r="E100" i="107" s="1"/>
  <c r="E115" i="107" s="1"/>
  <c r="E132" i="107" s="1"/>
  <c r="E147" i="107" s="1"/>
  <c r="E162" i="107" s="1"/>
  <c r="B69" i="107"/>
  <c r="B85" i="107" s="1"/>
  <c r="B100" i="107" s="1"/>
  <c r="B115" i="107" s="1"/>
  <c r="B132" i="107" s="1"/>
  <c r="B147" i="107" s="1"/>
  <c r="B162" i="107" s="1"/>
  <c r="D17" i="106"/>
  <c r="E42" i="123"/>
  <c r="U45" i="123" s="1"/>
  <c r="E30" i="123"/>
  <c r="U32" i="123" s="1"/>
  <c r="E18" i="123"/>
  <c r="U19" i="123" s="1"/>
  <c r="E6" i="123"/>
  <c r="U6" i="123" s="1"/>
  <c r="E43" i="123"/>
  <c r="U46" i="123" s="1"/>
  <c r="E44" i="123"/>
  <c r="U47" i="123" s="1"/>
  <c r="E45" i="123"/>
  <c r="U48" i="123" s="1"/>
  <c r="E46" i="123"/>
  <c r="U49" i="123" s="1"/>
  <c r="E47" i="123"/>
  <c r="U50" i="123" s="1"/>
  <c r="E48" i="123"/>
  <c r="U51" i="123" s="1"/>
  <c r="E49" i="123"/>
  <c r="U52" i="123" s="1"/>
  <c r="E50" i="123"/>
  <c r="U53" i="123" s="1"/>
  <c r="E51" i="123"/>
  <c r="U54" i="123" s="1"/>
  <c r="E52" i="123"/>
  <c r="U55" i="123" s="1"/>
  <c r="E41" i="123"/>
  <c r="U44" i="123" s="1"/>
  <c r="E31" i="123"/>
  <c r="U33" i="123" s="1"/>
  <c r="E32" i="123"/>
  <c r="U34" i="123" s="1"/>
  <c r="E33" i="123"/>
  <c r="U35" i="123" s="1"/>
  <c r="E34" i="123"/>
  <c r="U36" i="123" s="1"/>
  <c r="E35" i="123"/>
  <c r="U37" i="123" s="1"/>
  <c r="E36" i="123"/>
  <c r="U38" i="123" s="1"/>
  <c r="E37" i="123"/>
  <c r="U39" i="123" s="1"/>
  <c r="E38" i="123"/>
  <c r="U40" i="123" s="1"/>
  <c r="E39" i="123"/>
  <c r="U41" i="123" s="1"/>
  <c r="E40" i="123"/>
  <c r="U42" i="123" s="1"/>
  <c r="E29" i="123"/>
  <c r="U31" i="123" s="1"/>
  <c r="E19" i="123"/>
  <c r="U20" i="123" s="1"/>
  <c r="E20" i="123"/>
  <c r="U21" i="123" s="1"/>
  <c r="E21" i="123"/>
  <c r="U22" i="123" s="1"/>
  <c r="E22" i="123"/>
  <c r="U23" i="123" s="1"/>
  <c r="E23" i="123"/>
  <c r="U24" i="123" s="1"/>
  <c r="E24" i="123"/>
  <c r="U25" i="123" s="1"/>
  <c r="E25" i="123"/>
  <c r="U26" i="123" s="1"/>
  <c r="E26" i="123"/>
  <c r="U27" i="123" s="1"/>
  <c r="E27" i="123"/>
  <c r="U28" i="123" s="1"/>
  <c r="E28" i="123"/>
  <c r="U29" i="123" s="1"/>
  <c r="E17" i="123"/>
  <c r="U18" i="123" s="1"/>
  <c r="E7" i="123"/>
  <c r="U7" i="123" s="1"/>
  <c r="E8" i="123"/>
  <c r="U8" i="123" s="1"/>
  <c r="E9" i="123"/>
  <c r="U9" i="123" s="1"/>
  <c r="E10" i="123"/>
  <c r="U10" i="123" s="1"/>
  <c r="E11" i="123"/>
  <c r="U11" i="123" s="1"/>
  <c r="E12" i="123"/>
  <c r="U12" i="123" s="1"/>
  <c r="E13" i="123"/>
  <c r="U13" i="123" s="1"/>
  <c r="E14" i="123"/>
  <c r="U14" i="123" s="1"/>
  <c r="E15" i="123"/>
  <c r="U15" i="123" s="1"/>
  <c r="E16" i="123"/>
  <c r="U16" i="123" s="1"/>
  <c r="E5" i="123"/>
  <c r="U5" i="123" s="1"/>
  <c r="A78" i="107"/>
  <c r="A94" i="107" s="1"/>
  <c r="A109" i="107" s="1"/>
  <c r="A124" i="107" s="1"/>
  <c r="A141" i="107" s="1"/>
  <c r="A156" i="107" s="1"/>
  <c r="A171" i="107" s="1"/>
  <c r="A186" i="107" s="1"/>
  <c r="AT9" i="107"/>
  <c r="G9" i="107"/>
  <c r="O9" i="107"/>
  <c r="W9" i="107"/>
  <c r="AE9" i="107"/>
  <c r="AM9" i="107"/>
  <c r="AU9" i="107"/>
  <c r="H9" i="107"/>
  <c r="P9" i="107"/>
  <c r="X9" i="107"/>
  <c r="AF9" i="107"/>
  <c r="AN9" i="107"/>
  <c r="AV9" i="107"/>
  <c r="I9" i="107"/>
  <c r="Q9" i="107"/>
  <c r="Y9" i="107"/>
  <c r="AG9" i="107"/>
  <c r="AO9" i="107"/>
  <c r="AW9" i="107"/>
  <c r="J9" i="107"/>
  <c r="R9" i="107"/>
  <c r="Z9" i="107"/>
  <c r="AH9" i="107"/>
  <c r="AP9" i="107"/>
  <c r="AX9" i="107"/>
  <c r="K9" i="107"/>
  <c r="S9" i="107"/>
  <c r="AA9" i="107"/>
  <c r="AI9" i="107"/>
  <c r="AQ9" i="107"/>
  <c r="AY9" i="107"/>
  <c r="D9" i="107"/>
  <c r="L9" i="107"/>
  <c r="T9" i="107"/>
  <c r="AB9" i="107"/>
  <c r="AJ9" i="107"/>
  <c r="AR9" i="107"/>
  <c r="AZ9" i="107"/>
  <c r="E9" i="107"/>
  <c r="M9" i="107"/>
  <c r="U9" i="107"/>
  <c r="AK9" i="107"/>
  <c r="AS9" i="107"/>
  <c r="BA9" i="107"/>
  <c r="F9" i="107"/>
  <c r="N9" i="107"/>
  <c r="V9" i="107"/>
  <c r="AD9" i="107"/>
  <c r="AL9" i="107"/>
  <c r="L10" i="107"/>
  <c r="AL10" i="107"/>
  <c r="BA10" i="107"/>
  <c r="AK10" i="107"/>
  <c r="AY10" i="107"/>
  <c r="AQ10" i="107"/>
  <c r="AI10" i="107"/>
  <c r="AA10" i="107"/>
  <c r="S10" i="107"/>
  <c r="K10" i="107"/>
  <c r="AP10" i="107"/>
  <c r="Z10" i="107"/>
  <c r="R10" i="107"/>
  <c r="J10" i="107"/>
  <c r="AV10" i="107"/>
  <c r="AN10" i="107"/>
  <c r="AF10" i="107"/>
  <c r="X10" i="107"/>
  <c r="P10" i="107"/>
  <c r="H10" i="107"/>
  <c r="AX10" i="107"/>
  <c r="AH10" i="107"/>
  <c r="AW10" i="107"/>
  <c r="AO10" i="107"/>
  <c r="AG10" i="107"/>
  <c r="Y10" i="107"/>
  <c r="Q10" i="107"/>
  <c r="I10" i="107"/>
  <c r="AU10" i="107"/>
  <c r="AM10" i="107"/>
  <c r="AE10" i="107"/>
  <c r="W10" i="107"/>
  <c r="O10" i="107"/>
  <c r="G10" i="107"/>
  <c r="AT10" i="107"/>
  <c r="V10" i="107"/>
  <c r="N10" i="107"/>
  <c r="F10" i="107"/>
  <c r="D10" i="107"/>
  <c r="AS10" i="107"/>
  <c r="AC10" i="107"/>
  <c r="U10" i="107"/>
  <c r="M10" i="107"/>
  <c r="E10" i="107"/>
  <c r="AZ10" i="107"/>
  <c r="AR10" i="107"/>
  <c r="AJ10" i="107"/>
  <c r="AB10" i="107"/>
  <c r="T10" i="107"/>
  <c r="T28" i="128"/>
  <c r="T27" i="128"/>
  <c r="T25" i="128"/>
  <c r="T26" i="128"/>
  <c r="T30" i="128"/>
  <c r="T29" i="128"/>
  <c r="U24" i="128"/>
  <c r="V4" i="128"/>
  <c r="V14" i="128" s="1"/>
  <c r="V25" i="128" s="1"/>
  <c r="V5" i="128"/>
  <c r="V15" i="128"/>
  <c r="V8" i="128"/>
  <c r="W8" i="128" s="1"/>
  <c r="W18" i="128" s="1"/>
  <c r="W29" i="128" s="1"/>
  <c r="V6" i="128"/>
  <c r="V9" i="128"/>
  <c r="U30" i="128"/>
  <c r="V7" i="128"/>
  <c r="V17" i="128" s="1"/>
  <c r="V3" i="128"/>
  <c r="V13" i="128" s="1"/>
  <c r="V24" i="128" s="1"/>
  <c r="W5" i="128"/>
  <c r="X5" i="128" s="1"/>
  <c r="X15" i="128" s="1"/>
  <c r="W4" i="128"/>
  <c r="D4" i="106"/>
  <c r="A196" i="107" l="1"/>
  <c r="A204" i="107"/>
  <c r="A201" i="107"/>
  <c r="X26" i="128"/>
  <c r="W7" i="128"/>
  <c r="X7" i="128" s="1"/>
  <c r="I26" i="128"/>
  <c r="S27" i="128"/>
  <c r="K27" i="128"/>
  <c r="S25" i="128"/>
  <c r="K25" i="128"/>
  <c r="Q26" i="128"/>
  <c r="J26" i="128"/>
  <c r="M26" i="128"/>
  <c r="H26" i="128"/>
  <c r="R26" i="128"/>
  <c r="P30" i="128"/>
  <c r="H30" i="128"/>
  <c r="P29" i="128"/>
  <c r="H29" i="128"/>
  <c r="P28" i="128"/>
  <c r="H28" i="128"/>
  <c r="P27" i="128"/>
  <c r="H27" i="128"/>
  <c r="P26" i="128"/>
  <c r="P25" i="128"/>
  <c r="H25" i="128"/>
  <c r="X8" i="128"/>
  <c r="X18" i="128" s="1"/>
  <c r="X29" i="128" s="1"/>
  <c r="O26" i="128"/>
  <c r="L26" i="128"/>
  <c r="V26" i="128"/>
  <c r="N77" i="123"/>
  <c r="S83" i="123" s="1"/>
  <c r="N112" i="123"/>
  <c r="N35" i="123"/>
  <c r="S37" i="123" s="1"/>
  <c r="N123" i="123"/>
  <c r="N50" i="123"/>
  <c r="S53" i="123" s="1"/>
  <c r="N96" i="123"/>
  <c r="S103" i="123" s="1"/>
  <c r="N23" i="123"/>
  <c r="S24" i="123" s="1"/>
  <c r="N69" i="123"/>
  <c r="S74" i="123" s="1"/>
  <c r="N115" i="123"/>
  <c r="N19" i="123"/>
  <c r="S20" i="123" s="1"/>
  <c r="N42" i="123"/>
  <c r="S45" i="123" s="1"/>
  <c r="N65" i="123"/>
  <c r="S70" i="123" s="1"/>
  <c r="N88" i="123"/>
  <c r="S94" i="123" s="1"/>
  <c r="N111" i="123"/>
  <c r="N15" i="123"/>
  <c r="S15" i="123" s="1"/>
  <c r="N38" i="123"/>
  <c r="S40" i="123" s="1"/>
  <c r="N61" i="123"/>
  <c r="S65" i="123" s="1"/>
  <c r="N84" i="123"/>
  <c r="S90" i="123" s="1"/>
  <c r="N107" i="123"/>
  <c r="N11" i="123"/>
  <c r="S11" i="123" s="1"/>
  <c r="N34" i="123"/>
  <c r="S36" i="123" s="1"/>
  <c r="N57" i="123"/>
  <c r="S61" i="123" s="1"/>
  <c r="N80" i="123"/>
  <c r="S86" i="123" s="1"/>
  <c r="N103" i="123"/>
  <c r="N7" i="123"/>
  <c r="S7" i="123" s="1"/>
  <c r="N30" i="123"/>
  <c r="N53" i="123"/>
  <c r="N12" i="123"/>
  <c r="S12" i="123" s="1"/>
  <c r="N100" i="123"/>
  <c r="S107" i="123" s="1"/>
  <c r="N27" i="123"/>
  <c r="S28" i="123" s="1"/>
  <c r="N73" i="123"/>
  <c r="S78" i="123" s="1"/>
  <c r="N119" i="123"/>
  <c r="N46" i="123"/>
  <c r="S49" i="123" s="1"/>
  <c r="N92" i="123"/>
  <c r="S99" i="123" s="1"/>
  <c r="N76" i="123"/>
  <c r="S81" i="123" s="1"/>
  <c r="N99" i="123"/>
  <c r="S106" i="123" s="1"/>
  <c r="N122" i="123"/>
  <c r="N26" i="123"/>
  <c r="S27" i="123" s="1"/>
  <c r="N49" i="123"/>
  <c r="S52" i="123" s="1"/>
  <c r="N72" i="123"/>
  <c r="S77" i="123" s="1"/>
  <c r="N95" i="123"/>
  <c r="S102" i="123" s="1"/>
  <c r="N118" i="123"/>
  <c r="N22" i="123"/>
  <c r="S23" i="123" s="1"/>
  <c r="N45" i="123"/>
  <c r="S48" i="123" s="1"/>
  <c r="N68" i="123"/>
  <c r="S73" i="123" s="1"/>
  <c r="N91" i="123"/>
  <c r="S98" i="123" s="1"/>
  <c r="N114" i="123"/>
  <c r="N18" i="123"/>
  <c r="S19" i="123" s="1"/>
  <c r="N41" i="123"/>
  <c r="S44" i="123" s="1"/>
  <c r="N16" i="123"/>
  <c r="S16" i="123" s="1"/>
  <c r="N85" i="123"/>
  <c r="S91" i="123" s="1"/>
  <c r="N58" i="123"/>
  <c r="S62" i="123" s="1"/>
  <c r="N104" i="123"/>
  <c r="N54" i="123"/>
  <c r="S58" i="123" s="1"/>
  <c r="N39" i="123"/>
  <c r="S41" i="123" s="1"/>
  <c r="N108" i="123"/>
  <c r="N81" i="123"/>
  <c r="S87" i="123" s="1"/>
  <c r="N8" i="123"/>
  <c r="S8" i="123" s="1"/>
  <c r="N31" i="123"/>
  <c r="S33" i="123" s="1"/>
  <c r="N64" i="123"/>
  <c r="S68" i="123" s="1"/>
  <c r="N87" i="123"/>
  <c r="S93" i="123" s="1"/>
  <c r="N110" i="123"/>
  <c r="N14" i="123"/>
  <c r="S14" i="123" s="1"/>
  <c r="N37" i="123"/>
  <c r="S39" i="123" s="1"/>
  <c r="N60" i="123"/>
  <c r="S64" i="123" s="1"/>
  <c r="N83" i="123"/>
  <c r="S89" i="123" s="1"/>
  <c r="N106" i="123"/>
  <c r="N10" i="123"/>
  <c r="S10" i="123" s="1"/>
  <c r="N33" i="123"/>
  <c r="S35" i="123" s="1"/>
  <c r="N56" i="123"/>
  <c r="S60" i="123" s="1"/>
  <c r="N102" i="123"/>
  <c r="N29" i="123"/>
  <c r="N52" i="123"/>
  <c r="S55" i="123" s="1"/>
  <c r="N75" i="123"/>
  <c r="S80" i="123" s="1"/>
  <c r="N98" i="123"/>
  <c r="S105" i="123" s="1"/>
  <c r="N121" i="123"/>
  <c r="N25" i="123"/>
  <c r="S26" i="123" s="1"/>
  <c r="N48" i="123"/>
  <c r="S51" i="123" s="1"/>
  <c r="N71" i="123"/>
  <c r="S76" i="123" s="1"/>
  <c r="N94" i="123"/>
  <c r="S101" i="123" s="1"/>
  <c r="N117" i="123"/>
  <c r="N21" i="123"/>
  <c r="S22" i="123" s="1"/>
  <c r="N44" i="123"/>
  <c r="S47" i="123" s="1"/>
  <c r="N67" i="123"/>
  <c r="S72" i="123" s="1"/>
  <c r="N90" i="123"/>
  <c r="S97" i="123" s="1"/>
  <c r="N113" i="123"/>
  <c r="N17" i="123"/>
  <c r="S18" i="123" s="1"/>
  <c r="N79" i="123"/>
  <c r="S85" i="123" s="1"/>
  <c r="N40" i="123"/>
  <c r="S42" i="123" s="1"/>
  <c r="N63" i="123"/>
  <c r="S67" i="123" s="1"/>
  <c r="N86" i="123"/>
  <c r="S92" i="123" s="1"/>
  <c r="N109" i="123"/>
  <c r="N13" i="123"/>
  <c r="S13" i="123" s="1"/>
  <c r="N36" i="123"/>
  <c r="S38" i="123" s="1"/>
  <c r="N59" i="123"/>
  <c r="S63" i="123" s="1"/>
  <c r="N82" i="123"/>
  <c r="S88" i="123" s="1"/>
  <c r="N105" i="123"/>
  <c r="N9" i="123"/>
  <c r="S9" i="123" s="1"/>
  <c r="N32" i="123"/>
  <c r="S34" i="123" s="1"/>
  <c r="N55" i="123"/>
  <c r="S59" i="123" s="1"/>
  <c r="N78" i="123"/>
  <c r="N101" i="123"/>
  <c r="N5" i="123"/>
  <c r="N62" i="123"/>
  <c r="S66" i="123" s="1"/>
  <c r="N6" i="123"/>
  <c r="N124" i="123"/>
  <c r="N28" i="123"/>
  <c r="S29" i="123" s="1"/>
  <c r="N51" i="123"/>
  <c r="S54" i="123" s="1"/>
  <c r="N74" i="123"/>
  <c r="S79" i="123" s="1"/>
  <c r="N97" i="123"/>
  <c r="S104" i="123" s="1"/>
  <c r="N120" i="123"/>
  <c r="N24" i="123"/>
  <c r="S25" i="123" s="1"/>
  <c r="N47" i="123"/>
  <c r="S50" i="123" s="1"/>
  <c r="N70" i="123"/>
  <c r="S75" i="123" s="1"/>
  <c r="N93" i="123"/>
  <c r="S100" i="123" s="1"/>
  <c r="N116" i="123"/>
  <c r="N20" i="123"/>
  <c r="S21" i="123" s="1"/>
  <c r="N43" i="123"/>
  <c r="S46" i="123" s="1"/>
  <c r="N66" i="123"/>
  <c r="N89" i="123"/>
  <c r="S96" i="123" s="1"/>
  <c r="C30" i="104"/>
  <c r="C31" i="104"/>
  <c r="C32" i="104"/>
  <c r="C33" i="104"/>
  <c r="C34" i="104"/>
  <c r="C26" i="104"/>
  <c r="B7" i="140" s="1"/>
  <c r="C25" i="104"/>
  <c r="B8" i="140" s="1"/>
  <c r="B14" i="140" s="1"/>
  <c r="E20" i="148"/>
  <c r="F20" i="148"/>
  <c r="G20" i="148"/>
  <c r="H20" i="148"/>
  <c r="I20" i="148"/>
  <c r="J20" i="148"/>
  <c r="K20" i="148"/>
  <c r="L20" i="148"/>
  <c r="M20" i="148"/>
  <c r="N20" i="148"/>
  <c r="A76" i="107"/>
  <c r="A92" i="107" s="1"/>
  <c r="A107" i="107" s="1"/>
  <c r="A122" i="107" s="1"/>
  <c r="A139" i="107" s="1"/>
  <c r="A154" i="107" s="1"/>
  <c r="A169" i="107" s="1"/>
  <c r="A184" i="107" s="1"/>
  <c r="F16" i="104"/>
  <c r="K16" i="104"/>
  <c r="H16" i="104"/>
  <c r="J16" i="104"/>
  <c r="G16" i="104"/>
  <c r="I16" i="104"/>
  <c r="E16" i="104"/>
  <c r="I8" i="104"/>
  <c r="I9" i="104" s="1"/>
  <c r="I20" i="104" s="1"/>
  <c r="G8" i="104"/>
  <c r="G9" i="104" s="1"/>
  <c r="G20" i="104" s="1"/>
  <c r="E8" i="104"/>
  <c r="E9" i="104" s="1"/>
  <c r="E20" i="104" s="1"/>
  <c r="F8" i="104"/>
  <c r="F9" i="104" s="1"/>
  <c r="F20" i="104" s="1"/>
  <c r="K8" i="104"/>
  <c r="K9" i="104" s="1"/>
  <c r="K20" i="104" s="1"/>
  <c r="H8" i="104"/>
  <c r="H9" i="104" s="1"/>
  <c r="H20" i="104" s="1"/>
  <c r="J8" i="104"/>
  <c r="J9" i="104" s="1"/>
  <c r="J20" i="104" s="1"/>
  <c r="A75" i="107"/>
  <c r="A91" i="107" s="1"/>
  <c r="A106" i="107" s="1"/>
  <c r="A121" i="107" s="1"/>
  <c r="A138" i="107" s="1"/>
  <c r="A153" i="107" s="1"/>
  <c r="A168" i="107" s="1"/>
  <c r="A183" i="107" s="1"/>
  <c r="A70" i="107"/>
  <c r="A86" i="107" s="1"/>
  <c r="A101" i="107" s="1"/>
  <c r="A116" i="107" s="1"/>
  <c r="A133" i="107" s="1"/>
  <c r="A148" i="107" s="1"/>
  <c r="A163" i="107" s="1"/>
  <c r="A178" i="107" s="1"/>
  <c r="A77" i="107"/>
  <c r="A93" i="107" s="1"/>
  <c r="A108" i="107" s="1"/>
  <c r="A123" i="107" s="1"/>
  <c r="A140" i="107" s="1"/>
  <c r="A155" i="107" s="1"/>
  <c r="A170" i="107" s="1"/>
  <c r="A185" i="107" s="1"/>
  <c r="Y5" i="128"/>
  <c r="W17" i="128"/>
  <c r="W28" i="128" s="1"/>
  <c r="A74" i="107"/>
  <c r="A90" i="107" s="1"/>
  <c r="A105" i="107" s="1"/>
  <c r="A120" i="107" s="1"/>
  <c r="A137" i="107" s="1"/>
  <c r="A152" i="107" s="1"/>
  <c r="A167" i="107" s="1"/>
  <c r="A182" i="107" s="1"/>
  <c r="M28" i="128"/>
  <c r="I28" i="128"/>
  <c r="G28" i="128"/>
  <c r="O28" i="128"/>
  <c r="R28" i="128"/>
  <c r="F28" i="128"/>
  <c r="U29" i="128"/>
  <c r="Y8" i="128"/>
  <c r="Z8" i="128" s="1"/>
  <c r="W3" i="128"/>
  <c r="V18" i="128"/>
  <c r="V29" i="128" s="1"/>
  <c r="Q28" i="128"/>
  <c r="E28" i="128"/>
  <c r="S30" i="128"/>
  <c r="K30" i="128"/>
  <c r="S29" i="128"/>
  <c r="K29" i="128"/>
  <c r="S28" i="128"/>
  <c r="K28" i="128"/>
  <c r="S26" i="128"/>
  <c r="K26" i="128"/>
  <c r="U28" i="128"/>
  <c r="N28" i="128"/>
  <c r="W15" i="128"/>
  <c r="W26" i="128" s="1"/>
  <c r="V28" i="128"/>
  <c r="U26" i="128"/>
  <c r="A79" i="107"/>
  <c r="A95" i="107" s="1"/>
  <c r="A110" i="107" s="1"/>
  <c r="A125" i="107" s="1"/>
  <c r="A142" i="107" s="1"/>
  <c r="A157" i="107" s="1"/>
  <c r="A172" i="107" s="1"/>
  <c r="A187" i="107" s="1"/>
  <c r="A71" i="107"/>
  <c r="A87" i="107" s="1"/>
  <c r="A102" i="107" s="1"/>
  <c r="A117" i="107" s="1"/>
  <c r="A134" i="107" s="1"/>
  <c r="A149" i="107" s="1"/>
  <c r="A164" i="107" s="1"/>
  <c r="A179" i="107" s="1"/>
  <c r="A80" i="107"/>
  <c r="A96" i="107" s="1"/>
  <c r="A111" i="107" s="1"/>
  <c r="A126" i="107" s="1"/>
  <c r="A143" i="107" s="1"/>
  <c r="A158" i="107" s="1"/>
  <c r="A173" i="107" s="1"/>
  <c r="A188" i="107" s="1"/>
  <c r="D28" i="123"/>
  <c r="D40" i="123" s="1"/>
  <c r="D52" i="123" s="1"/>
  <c r="D88" i="123" s="1"/>
  <c r="D100" i="123" s="1"/>
  <c r="D112" i="123" s="1"/>
  <c r="D124" i="123" s="1"/>
  <c r="AO31" i="128"/>
  <c r="D20" i="123"/>
  <c r="D32" i="123" s="1"/>
  <c r="D44" i="123" s="1"/>
  <c r="D56" i="123" s="1"/>
  <c r="D68" i="123" s="1"/>
  <c r="C12" i="104"/>
  <c r="C6" i="104"/>
  <c r="C7" i="104"/>
  <c r="BC31" i="128"/>
  <c r="AT31" i="128"/>
  <c r="AJ31" i="128"/>
  <c r="AP31" i="128"/>
  <c r="BE31" i="128"/>
  <c r="BJ31" i="128"/>
  <c r="BF31" i="128"/>
  <c r="AW31" i="128"/>
  <c r="BB31" i="128"/>
  <c r="BL31" i="128"/>
  <c r="AD31" i="128"/>
  <c r="BD31" i="128"/>
  <c r="BA31" i="128"/>
  <c r="AV31" i="128"/>
  <c r="AK31" i="128"/>
  <c r="A72" i="107"/>
  <c r="A88" i="107" s="1"/>
  <c r="A103" i="107" s="1"/>
  <c r="A118" i="107" s="1"/>
  <c r="A135" i="107" s="1"/>
  <c r="A150" i="107" s="1"/>
  <c r="A165" i="107" s="1"/>
  <c r="A180" i="107" s="1"/>
  <c r="AX31" i="128"/>
  <c r="AF31" i="128"/>
  <c r="AR31" i="128"/>
  <c r="D61" i="123"/>
  <c r="D73" i="123" s="1"/>
  <c r="D85" i="123"/>
  <c r="D97" i="123" s="1"/>
  <c r="D109" i="123" s="1"/>
  <c r="D121" i="123" s="1"/>
  <c r="D63" i="123"/>
  <c r="D75" i="123" s="1"/>
  <c r="D87" i="123"/>
  <c r="D99" i="123" s="1"/>
  <c r="D111" i="123" s="1"/>
  <c r="D123" i="123" s="1"/>
  <c r="D83" i="123"/>
  <c r="D95" i="123" s="1"/>
  <c r="D107" i="123" s="1"/>
  <c r="D119" i="123" s="1"/>
  <c r="D59" i="123"/>
  <c r="D71" i="123" s="1"/>
  <c r="D57" i="123"/>
  <c r="D69" i="123" s="1"/>
  <c r="D81" i="123"/>
  <c r="D93" i="123" s="1"/>
  <c r="D105" i="123" s="1"/>
  <c r="D117" i="123" s="1"/>
  <c r="D53" i="123"/>
  <c r="D65" i="123" s="1"/>
  <c r="D77" i="123"/>
  <c r="D89" i="123" s="1"/>
  <c r="D101" i="123" s="1"/>
  <c r="D113" i="123" s="1"/>
  <c r="D55" i="123"/>
  <c r="D67" i="123" s="1"/>
  <c r="D79" i="123"/>
  <c r="D91" i="123" s="1"/>
  <c r="D103" i="123" s="1"/>
  <c r="D115" i="123" s="1"/>
  <c r="D54" i="123"/>
  <c r="D66" i="123" s="1"/>
  <c r="D78" i="123"/>
  <c r="D90" i="123" s="1"/>
  <c r="D102" i="123" s="1"/>
  <c r="D114" i="123" s="1"/>
  <c r="AA8" i="128"/>
  <c r="Z18" i="128"/>
  <c r="Z29" i="128" s="1"/>
  <c r="D84" i="123"/>
  <c r="D96" i="123" s="1"/>
  <c r="D108" i="123" s="1"/>
  <c r="D120" i="123" s="1"/>
  <c r="D60" i="123"/>
  <c r="D72" i="123" s="1"/>
  <c r="W14" i="128"/>
  <c r="W25" i="128" s="1"/>
  <c r="X4" i="128"/>
  <c r="V19" i="128"/>
  <c r="V30" i="128" s="1"/>
  <c r="W9" i="128"/>
  <c r="Y18" i="128"/>
  <c r="Y29" i="128" s="1"/>
  <c r="D58" i="123"/>
  <c r="D70" i="123" s="1"/>
  <c r="D82" i="123"/>
  <c r="D94" i="123" s="1"/>
  <c r="D106" i="123" s="1"/>
  <c r="D118" i="123" s="1"/>
  <c r="P24" i="128"/>
  <c r="T24" i="128"/>
  <c r="I24" i="128"/>
  <c r="H24" i="128"/>
  <c r="L24" i="128"/>
  <c r="J24" i="128"/>
  <c r="E24" i="128"/>
  <c r="M24" i="128"/>
  <c r="R24" i="128"/>
  <c r="G24" i="128"/>
  <c r="N24" i="128"/>
  <c r="F24" i="128"/>
  <c r="S24" i="128"/>
  <c r="K24" i="128"/>
  <c r="V16" i="128"/>
  <c r="V27" i="128" s="1"/>
  <c r="W6" i="128"/>
  <c r="D62" i="123"/>
  <c r="D74" i="123" s="1"/>
  <c r="D86" i="123"/>
  <c r="D98" i="123" s="1"/>
  <c r="D110" i="123" s="1"/>
  <c r="D122" i="123" s="1"/>
  <c r="Q24" i="128"/>
  <c r="AM30" i="107"/>
  <c r="AM33" i="107" s="1"/>
  <c r="AE30" i="107"/>
  <c r="AE33" i="107" s="1"/>
  <c r="AW30" i="107"/>
  <c r="AW33" i="107" s="1"/>
  <c r="AI30" i="107"/>
  <c r="AI33" i="107" s="1"/>
  <c r="AS30" i="107"/>
  <c r="AS33" i="107" s="1"/>
  <c r="AO30" i="107"/>
  <c r="AO33" i="107" s="1"/>
  <c r="AG30" i="107"/>
  <c r="AG33" i="107" s="1"/>
  <c r="AL30" i="107"/>
  <c r="AL33" i="107" s="1"/>
  <c r="AR30" i="107"/>
  <c r="AR33" i="107" s="1"/>
  <c r="AJ30" i="107"/>
  <c r="AJ33" i="107" s="1"/>
  <c r="AH31" i="128"/>
  <c r="BK31" i="128"/>
  <c r="AZ31" i="128"/>
  <c r="AY30" i="107"/>
  <c r="AY33" i="107" s="1"/>
  <c r="C14" i="104"/>
  <c r="BA30" i="107"/>
  <c r="BA33" i="107" s="1"/>
  <c r="AT30" i="107"/>
  <c r="AT33" i="107" s="1"/>
  <c r="AI31" i="128"/>
  <c r="C11" i="104"/>
  <c r="C13" i="104"/>
  <c r="AG31" i="128"/>
  <c r="AM31" i="128"/>
  <c r="BH31" i="128"/>
  <c r="D31" i="128"/>
  <c r="AN31" i="128"/>
  <c r="AL31" i="128"/>
  <c r="AY31" i="128"/>
  <c r="AZ30" i="107"/>
  <c r="AZ33" i="107" s="1"/>
  <c r="AQ30" i="107"/>
  <c r="AQ33" i="107" s="1"/>
  <c r="AU31" i="128"/>
  <c r="BI31" i="128"/>
  <c r="BG31" i="128"/>
  <c r="AE31" i="128"/>
  <c r="AS31" i="128"/>
  <c r="AQ31" i="128"/>
  <c r="AU30" i="107"/>
  <c r="AU33" i="107" s="1"/>
  <c r="J31" i="128"/>
  <c r="I62" i="107" s="1"/>
  <c r="AD30" i="107"/>
  <c r="AD33" i="107" s="1"/>
  <c r="I31" i="128"/>
  <c r="AX30" i="107"/>
  <c r="AX33" i="107" s="1"/>
  <c r="AP30" i="107"/>
  <c r="AP33" i="107" s="1"/>
  <c r="AH30" i="107"/>
  <c r="AH33" i="107" s="1"/>
  <c r="AV30" i="107"/>
  <c r="AV33" i="107" s="1"/>
  <c r="AN30" i="107"/>
  <c r="AN33" i="107" s="1"/>
  <c r="AF30" i="107"/>
  <c r="AF33" i="107" s="1"/>
  <c r="E31" i="128"/>
  <c r="F31" i="128"/>
  <c r="N31" i="128"/>
  <c r="K62" i="107" s="1"/>
  <c r="K31" i="128"/>
  <c r="AK30" i="107"/>
  <c r="AK33" i="107" s="1"/>
  <c r="G31" i="128"/>
  <c r="O31" i="128"/>
  <c r="M31" i="128"/>
  <c r="H31" i="128"/>
  <c r="AC31" i="128"/>
  <c r="AA31" i="128"/>
  <c r="Z31" i="128"/>
  <c r="Y31" i="128"/>
  <c r="X31" i="128"/>
  <c r="W31" i="128"/>
  <c r="V31" i="128"/>
  <c r="U31" i="128"/>
  <c r="T31" i="128"/>
  <c r="S31" i="128"/>
  <c r="R31" i="128"/>
  <c r="Q31" i="128"/>
  <c r="P31" i="128"/>
  <c r="AB31" i="128"/>
  <c r="A195" i="107" l="1"/>
  <c r="A197" i="107"/>
  <c r="A193" i="107"/>
  <c r="A203" i="107"/>
  <c r="A200" i="107"/>
  <c r="A199" i="107"/>
  <c r="A194" i="107"/>
  <c r="A198" i="107"/>
  <c r="A202" i="107"/>
  <c r="J28" i="148"/>
  <c r="J29" i="148"/>
  <c r="J30" i="148"/>
  <c r="I28" i="148"/>
  <c r="I30" i="148"/>
  <c r="I29" i="148"/>
  <c r="H29" i="148"/>
  <c r="H30" i="148"/>
  <c r="H28" i="148"/>
  <c r="G30" i="148"/>
  <c r="G29" i="148"/>
  <c r="G28" i="148"/>
  <c r="N28" i="148"/>
  <c r="N29" i="148"/>
  <c r="N30" i="148"/>
  <c r="F29" i="148"/>
  <c r="F28" i="148"/>
  <c r="F30" i="148"/>
  <c r="M28" i="148"/>
  <c r="M29" i="148"/>
  <c r="M30" i="148"/>
  <c r="L28" i="148"/>
  <c r="L29" i="148"/>
  <c r="L30" i="148"/>
  <c r="K28" i="148"/>
  <c r="K29" i="148"/>
  <c r="K30" i="148"/>
  <c r="E29" i="148"/>
  <c r="E30" i="148"/>
  <c r="E28" i="148"/>
  <c r="AY62" i="107"/>
  <c r="AY65" i="107" s="1"/>
  <c r="U62" i="107"/>
  <c r="U64" i="107" s="1"/>
  <c r="AA62" i="107"/>
  <c r="AA64" i="107" s="1"/>
  <c r="AH62" i="107"/>
  <c r="AH64" i="107" s="1"/>
  <c r="AB62" i="107"/>
  <c r="AB64" i="107" s="1"/>
  <c r="AF62" i="107"/>
  <c r="AF64" i="107" s="1"/>
  <c r="AZ62" i="107"/>
  <c r="AZ65" i="107" s="1"/>
  <c r="AK62" i="107"/>
  <c r="AK64" i="107" s="1"/>
  <c r="AM62" i="107"/>
  <c r="AM65" i="107" s="1"/>
  <c r="AT62" i="107"/>
  <c r="AT63" i="107" s="1"/>
  <c r="AL62" i="107"/>
  <c r="AL64" i="107" s="1"/>
  <c r="O62" i="107"/>
  <c r="O64" i="107" s="1"/>
  <c r="L62" i="107"/>
  <c r="L64" i="107" s="1"/>
  <c r="AS62" i="107"/>
  <c r="AS64" i="107" s="1"/>
  <c r="X62" i="107"/>
  <c r="X64" i="107" s="1"/>
  <c r="P62" i="107"/>
  <c r="P64" i="107" s="1"/>
  <c r="W62" i="107"/>
  <c r="W64" i="107" s="1"/>
  <c r="AG62" i="107"/>
  <c r="AG65" i="107" s="1"/>
  <c r="T62" i="107"/>
  <c r="T64" i="107" s="1"/>
  <c r="AQ62" i="107"/>
  <c r="AQ64" i="107" s="1"/>
  <c r="AC62" i="107"/>
  <c r="AC63" i="107" s="1"/>
  <c r="F62" i="107"/>
  <c r="F63" i="107" s="1"/>
  <c r="AX62" i="107"/>
  <c r="AX63" i="107" s="1"/>
  <c r="AR62" i="107"/>
  <c r="AR63" i="107" s="1"/>
  <c r="G62" i="107"/>
  <c r="G63" i="107" s="1"/>
  <c r="V62" i="107"/>
  <c r="V64" i="107" s="1"/>
  <c r="Q62" i="107"/>
  <c r="Q64" i="107" s="1"/>
  <c r="Z62" i="107"/>
  <c r="Z64" i="107" s="1"/>
  <c r="D62" i="107"/>
  <c r="D65" i="107" s="1"/>
  <c r="AO62" i="107"/>
  <c r="AO65" i="107" s="1"/>
  <c r="AN62" i="107"/>
  <c r="AN65" i="107" s="1"/>
  <c r="N62" i="107"/>
  <c r="N64" i="107" s="1"/>
  <c r="AI62" i="107"/>
  <c r="AI63" i="107" s="1"/>
  <c r="AP62" i="107"/>
  <c r="AP63" i="107" s="1"/>
  <c r="AE62" i="107"/>
  <c r="AE63" i="107" s="1"/>
  <c r="AW62" i="107"/>
  <c r="AW65" i="107" s="1"/>
  <c r="BA62" i="107"/>
  <c r="BA64" i="107" s="1"/>
  <c r="Y62" i="107"/>
  <c r="Y64" i="107" s="1"/>
  <c r="J62" i="107"/>
  <c r="J63" i="107" s="1"/>
  <c r="AD62" i="107"/>
  <c r="AD64" i="107" s="1"/>
  <c r="AV62" i="107"/>
  <c r="AV63" i="107" s="1"/>
  <c r="R62" i="107"/>
  <c r="R64" i="107" s="1"/>
  <c r="M62" i="107"/>
  <c r="M64" i="107" s="1"/>
  <c r="AJ62" i="107"/>
  <c r="AJ64" i="107" s="1"/>
  <c r="S62" i="107"/>
  <c r="S64" i="107" s="1"/>
  <c r="E62" i="107"/>
  <c r="E64" i="107" s="1"/>
  <c r="H62" i="107"/>
  <c r="H65" i="107" s="1"/>
  <c r="AU62" i="107"/>
  <c r="AU63" i="107" s="1"/>
  <c r="X17" i="128"/>
  <c r="X28" i="128" s="1"/>
  <c r="Y7" i="128"/>
  <c r="B12" i="140"/>
  <c r="B10" i="140"/>
  <c r="B11" i="140"/>
  <c r="C9" i="104"/>
  <c r="H17" i="104"/>
  <c r="F17" i="104"/>
  <c r="G17" i="104"/>
  <c r="K25" i="107"/>
  <c r="S25" i="107"/>
  <c r="AA25" i="107"/>
  <c r="M25" i="107"/>
  <c r="F25" i="107"/>
  <c r="V25" i="107"/>
  <c r="D25" i="107"/>
  <c r="O25" i="107"/>
  <c r="P25" i="107"/>
  <c r="Q25" i="107"/>
  <c r="J25" i="107"/>
  <c r="Z25" i="107"/>
  <c r="L25" i="107"/>
  <c r="T25" i="107"/>
  <c r="AB25" i="107"/>
  <c r="E25" i="107"/>
  <c r="U25" i="107"/>
  <c r="N25" i="107"/>
  <c r="G25" i="107"/>
  <c r="W25" i="107"/>
  <c r="H25" i="107"/>
  <c r="X25" i="107"/>
  <c r="I25" i="107"/>
  <c r="Y25" i="107"/>
  <c r="R25" i="107"/>
  <c r="J17" i="104"/>
  <c r="I17" i="104"/>
  <c r="K17" i="104"/>
  <c r="C8" i="104"/>
  <c r="D64" i="123"/>
  <c r="D76" i="123" s="1"/>
  <c r="K65" i="107"/>
  <c r="K64" i="107"/>
  <c r="Z5" i="128"/>
  <c r="Y15" i="128"/>
  <c r="Y26" i="128" s="1"/>
  <c r="I65" i="107"/>
  <c r="I64" i="107"/>
  <c r="W13" i="128"/>
  <c r="W24" i="128" s="1"/>
  <c r="X3" i="128"/>
  <c r="D80" i="123"/>
  <c r="D92" i="123" s="1"/>
  <c r="D104" i="123" s="1"/>
  <c r="D116" i="123" s="1"/>
  <c r="AB8" i="128"/>
  <c r="AA18" i="128"/>
  <c r="AA29" i="128" s="1"/>
  <c r="Y4" i="128"/>
  <c r="X14" i="128"/>
  <c r="X25" i="128" s="1"/>
  <c r="X6" i="128"/>
  <c r="W16" i="128"/>
  <c r="W27" i="128" s="1"/>
  <c r="W19" i="128"/>
  <c r="W30" i="128" s="1"/>
  <c r="X9" i="128"/>
  <c r="K63" i="107"/>
  <c r="S31" i="123"/>
  <c r="S84" i="123"/>
  <c r="S6" i="123"/>
  <c r="S57" i="123"/>
  <c r="S5" i="123"/>
  <c r="S71" i="123"/>
  <c r="S32" i="123"/>
  <c r="I63" i="107"/>
  <c r="F64" i="107" l="1"/>
  <c r="AY63" i="107"/>
  <c r="T63" i="107"/>
  <c r="AS63" i="107"/>
  <c r="AY64" i="107"/>
  <c r="AF63" i="107"/>
  <c r="AO64" i="107"/>
  <c r="AC64" i="107"/>
  <c r="Y63" i="107"/>
  <c r="U65" i="107"/>
  <c r="AO63" i="107"/>
  <c r="AF65" i="107"/>
  <c r="F65" i="107"/>
  <c r="AS65" i="107"/>
  <c r="AZ63" i="107"/>
  <c r="AL65" i="107"/>
  <c r="AK63" i="107"/>
  <c r="N65" i="107"/>
  <c r="AK65" i="107"/>
  <c r="AH63" i="107"/>
  <c r="U63" i="107"/>
  <c r="E63" i="107"/>
  <c r="E65" i="107"/>
  <c r="Y65" i="107"/>
  <c r="M63" i="107"/>
  <c r="AH65" i="107"/>
  <c r="AA65" i="107"/>
  <c r="AA63" i="107"/>
  <c r="T65" i="107"/>
  <c r="AL63" i="107"/>
  <c r="AE65" i="107"/>
  <c r="Q63" i="107"/>
  <c r="Q65" i="107"/>
  <c r="AE64" i="107"/>
  <c r="M65" i="107"/>
  <c r="W63" i="107"/>
  <c r="Z63" i="107"/>
  <c r="O63" i="107"/>
  <c r="L63" i="107"/>
  <c r="AB63" i="107"/>
  <c r="AZ64" i="107"/>
  <c r="S63" i="107"/>
  <c r="AB65" i="107"/>
  <c r="AN64" i="107"/>
  <c r="BA65" i="107"/>
  <c r="L65" i="107"/>
  <c r="AT65" i="107"/>
  <c r="AT64" i="107"/>
  <c r="AM64" i="107"/>
  <c r="AM63" i="107"/>
  <c r="AG64" i="107"/>
  <c r="X63" i="107"/>
  <c r="AX65" i="107"/>
  <c r="X65" i="107"/>
  <c r="AJ65" i="107"/>
  <c r="P63" i="107"/>
  <c r="AU65" i="107"/>
  <c r="AQ63" i="107"/>
  <c r="AD65" i="107"/>
  <c r="Z65" i="107"/>
  <c r="P65" i="107"/>
  <c r="AQ65" i="107"/>
  <c r="AU64" i="107"/>
  <c r="AR64" i="107"/>
  <c r="AD63" i="107"/>
  <c r="AR65" i="107"/>
  <c r="N63" i="107"/>
  <c r="O65" i="107"/>
  <c r="S65" i="107"/>
  <c r="AC65" i="107"/>
  <c r="W65" i="107"/>
  <c r="G65" i="107"/>
  <c r="D63" i="107"/>
  <c r="AI65" i="107"/>
  <c r="BA63" i="107"/>
  <c r="AV64" i="107"/>
  <c r="D64" i="107"/>
  <c r="G64" i="107"/>
  <c r="AI64" i="107"/>
  <c r="AG63" i="107"/>
  <c r="AW64" i="107"/>
  <c r="AW63" i="107"/>
  <c r="AJ63" i="107"/>
  <c r="AV65" i="107"/>
  <c r="V63" i="107"/>
  <c r="R63" i="107"/>
  <c r="AP64" i="107"/>
  <c r="AN63" i="107"/>
  <c r="R65" i="107"/>
  <c r="AP65" i="107"/>
  <c r="H63" i="107"/>
  <c r="V65" i="107"/>
  <c r="J64" i="107"/>
  <c r="H64" i="107"/>
  <c r="AX64" i="107"/>
  <c r="J65" i="107"/>
  <c r="Y17" i="128"/>
  <c r="Y28" i="128" s="1"/>
  <c r="Z7" i="128"/>
  <c r="C14" i="140"/>
  <c r="F21" i="104"/>
  <c r="F22" i="104" s="1"/>
  <c r="F24" i="104" s="1"/>
  <c r="H21" i="104"/>
  <c r="K22" i="104"/>
  <c r="I21" i="104"/>
  <c r="J21" i="104"/>
  <c r="G21" i="104"/>
  <c r="AR39" i="107"/>
  <c r="AR42" i="107" s="1"/>
  <c r="C28" i="148"/>
  <c r="A162" i="107"/>
  <c r="K3" i="123" s="1"/>
  <c r="X13" i="128"/>
  <c r="X24" i="128" s="1"/>
  <c r="Y3" i="128"/>
  <c r="Z15" i="128"/>
  <c r="Z26" i="128" s="1"/>
  <c r="AA5" i="128"/>
  <c r="AB18" i="128"/>
  <c r="AB29" i="128" s="1"/>
  <c r="AC8" i="128"/>
  <c r="Z4" i="128"/>
  <c r="Y14" i="128"/>
  <c r="Y25" i="128" s="1"/>
  <c r="X19" i="128"/>
  <c r="X30" i="128" s="1"/>
  <c r="Y9" i="128"/>
  <c r="X16" i="128"/>
  <c r="X27" i="128" s="1"/>
  <c r="Y6" i="128"/>
  <c r="K13" i="107" l="1"/>
  <c r="K19" i="107" s="1"/>
  <c r="Z17" i="128"/>
  <c r="Z28" i="128" s="1"/>
  <c r="AA7" i="128"/>
  <c r="J22" i="104"/>
  <c r="J24" i="104" s="1"/>
  <c r="I22" i="104"/>
  <c r="I24" i="104" s="1"/>
  <c r="K24" i="104"/>
  <c r="H22" i="104"/>
  <c r="H24" i="104" s="1"/>
  <c r="F27" i="104"/>
  <c r="G22" i="104"/>
  <c r="G24" i="104" s="1"/>
  <c r="U13" i="107"/>
  <c r="U19" i="107" s="1"/>
  <c r="A147" i="107"/>
  <c r="E13" i="107"/>
  <c r="E19" i="107" s="1"/>
  <c r="N13" i="107"/>
  <c r="N19" i="107" s="1"/>
  <c r="Z13" i="107"/>
  <c r="Z19" i="107" s="1"/>
  <c r="D13" i="107"/>
  <c r="D19" i="107" s="1"/>
  <c r="J13" i="107"/>
  <c r="J19" i="107" s="1"/>
  <c r="X13" i="107"/>
  <c r="X19" i="107" s="1"/>
  <c r="W13" i="107"/>
  <c r="W19" i="107" s="1"/>
  <c r="H13" i="107"/>
  <c r="H19" i="107" s="1"/>
  <c r="AA13" i="107"/>
  <c r="AA19" i="107" s="1"/>
  <c r="G13" i="107"/>
  <c r="G19" i="107" s="1"/>
  <c r="F13" i="107"/>
  <c r="F19" i="107" s="1"/>
  <c r="Y13" i="107"/>
  <c r="Y19" i="107" s="1"/>
  <c r="L13" i="107"/>
  <c r="L19" i="107" s="1"/>
  <c r="V13" i="107"/>
  <c r="V19" i="107" s="1"/>
  <c r="I13" i="107"/>
  <c r="I19" i="107" s="1"/>
  <c r="O13" i="107"/>
  <c r="O19" i="107" s="1"/>
  <c r="T13" i="107"/>
  <c r="T19" i="107" s="1"/>
  <c r="S13" i="107"/>
  <c r="S19" i="107" s="1"/>
  <c r="Q13" i="107"/>
  <c r="Q19" i="107" s="1"/>
  <c r="M13" i="107"/>
  <c r="M19" i="107" s="1"/>
  <c r="P13" i="107"/>
  <c r="P19" i="107" s="1"/>
  <c r="AB13" i="107"/>
  <c r="AB19" i="107" s="1"/>
  <c r="R13" i="107"/>
  <c r="R19" i="107" s="1"/>
  <c r="AA15" i="128"/>
  <c r="AA26" i="128" s="1"/>
  <c r="AB5" i="128"/>
  <c r="C29" i="148"/>
  <c r="C30" i="148"/>
  <c r="Z3" i="128"/>
  <c r="Y13" i="128"/>
  <c r="Y24" i="128" s="1"/>
  <c r="AA4" i="128"/>
  <c r="Z14" i="128"/>
  <c r="Z25" i="128" s="1"/>
  <c r="AD8" i="128"/>
  <c r="AC18" i="128"/>
  <c r="AC29" i="128" s="1"/>
  <c r="Z9" i="128"/>
  <c r="Y19" i="128"/>
  <c r="Y30" i="128" s="1"/>
  <c r="Y16" i="128"/>
  <c r="Y27" i="128" s="1"/>
  <c r="Z6" i="128"/>
  <c r="C49" i="104" l="1"/>
  <c r="AB7" i="128"/>
  <c r="AA17" i="128"/>
  <c r="AA28" i="128" s="1"/>
  <c r="J27" i="104"/>
  <c r="K27" i="104"/>
  <c r="G27" i="104"/>
  <c r="I27" i="104"/>
  <c r="H27" i="104"/>
  <c r="A132" i="107"/>
  <c r="AA3" i="128"/>
  <c r="Z13" i="128"/>
  <c r="Z24" i="128" s="1"/>
  <c r="N15" i="107"/>
  <c r="N21" i="107" s="1"/>
  <c r="Q15" i="107"/>
  <c r="Q21" i="107" s="1"/>
  <c r="O15" i="107"/>
  <c r="O21" i="107" s="1"/>
  <c r="V15" i="107"/>
  <c r="V21" i="107" s="1"/>
  <c r="G15" i="107"/>
  <c r="G21" i="107" s="1"/>
  <c r="W15" i="107"/>
  <c r="W21" i="107" s="1"/>
  <c r="J15" i="107"/>
  <c r="J21" i="107" s="1"/>
  <c r="Z15" i="107"/>
  <c r="Z21" i="107" s="1"/>
  <c r="K15" i="107"/>
  <c r="K21" i="107" s="1"/>
  <c r="R15" i="107"/>
  <c r="R21" i="107" s="1"/>
  <c r="P15" i="107"/>
  <c r="P21" i="107" s="1"/>
  <c r="S15" i="107"/>
  <c r="S21" i="107" s="1"/>
  <c r="I15" i="107"/>
  <c r="I21" i="107" s="1"/>
  <c r="Y15" i="107"/>
  <c r="Y21" i="107" s="1"/>
  <c r="AA15" i="107"/>
  <c r="AA21" i="107" s="1"/>
  <c r="E15" i="107"/>
  <c r="E21" i="107" s="1"/>
  <c r="U15" i="107"/>
  <c r="U21" i="107" s="1"/>
  <c r="AB15" i="107"/>
  <c r="AB21" i="107" s="1"/>
  <c r="M15" i="107"/>
  <c r="M21" i="107" s="1"/>
  <c r="T15" i="107"/>
  <c r="T21" i="107" s="1"/>
  <c r="L15" i="107"/>
  <c r="L21" i="107" s="1"/>
  <c r="F15" i="107"/>
  <c r="F21" i="107" s="1"/>
  <c r="H15" i="107"/>
  <c r="H21" i="107" s="1"/>
  <c r="X15" i="107"/>
  <c r="X21" i="107" s="1"/>
  <c r="D15" i="107"/>
  <c r="V14" i="107"/>
  <c r="V20" i="107" s="1"/>
  <c r="G14" i="107"/>
  <c r="G20" i="107" s="1"/>
  <c r="W14" i="107"/>
  <c r="W20" i="107" s="1"/>
  <c r="J14" i="107"/>
  <c r="J20" i="107" s="1"/>
  <c r="Z14" i="107"/>
  <c r="Z20" i="107" s="1"/>
  <c r="K14" i="107"/>
  <c r="K20" i="107" s="1"/>
  <c r="R14" i="107"/>
  <c r="R20" i="107" s="1"/>
  <c r="P14" i="107"/>
  <c r="P20" i="107" s="1"/>
  <c r="S14" i="107"/>
  <c r="S20" i="107" s="1"/>
  <c r="I14" i="107"/>
  <c r="I20" i="107" s="1"/>
  <c r="Y14" i="107"/>
  <c r="Y20" i="107" s="1"/>
  <c r="AA14" i="107"/>
  <c r="AA20" i="107" s="1"/>
  <c r="E14" i="107"/>
  <c r="E20" i="107" s="1"/>
  <c r="U14" i="107"/>
  <c r="U20" i="107" s="1"/>
  <c r="AB14" i="107"/>
  <c r="AB20" i="107" s="1"/>
  <c r="M14" i="107"/>
  <c r="M20" i="107" s="1"/>
  <c r="T14" i="107"/>
  <c r="T20" i="107" s="1"/>
  <c r="L14" i="107"/>
  <c r="L20" i="107" s="1"/>
  <c r="F14" i="107"/>
  <c r="F20" i="107" s="1"/>
  <c r="H14" i="107"/>
  <c r="H20" i="107" s="1"/>
  <c r="X14" i="107"/>
  <c r="X20" i="107" s="1"/>
  <c r="D14" i="107"/>
  <c r="N14" i="107"/>
  <c r="N20" i="107" s="1"/>
  <c r="Q14" i="107"/>
  <c r="Q20" i="107" s="1"/>
  <c r="O14" i="107"/>
  <c r="O20" i="107" s="1"/>
  <c r="AB15" i="128"/>
  <c r="AB26" i="128" s="1"/>
  <c r="AC5" i="128"/>
  <c r="Z16" i="128"/>
  <c r="Z27" i="128" s="1"/>
  <c r="AA6" i="128"/>
  <c r="AA9" i="128"/>
  <c r="Z19" i="128"/>
  <c r="Z30" i="128" s="1"/>
  <c r="AE8" i="128"/>
  <c r="AD18" i="128"/>
  <c r="AD29" i="128" s="1"/>
  <c r="AA14" i="128"/>
  <c r="AA25" i="128" s="1"/>
  <c r="AB4" i="128"/>
  <c r="AC7" i="128" l="1"/>
  <c r="AB17" i="128"/>
  <c r="AB28" i="128" s="1"/>
  <c r="D20" i="107"/>
  <c r="AB3" i="128"/>
  <c r="AA13" i="128"/>
  <c r="AA24" i="128" s="1"/>
  <c r="D21" i="107"/>
  <c r="AC15" i="128"/>
  <c r="AC26" i="128" s="1"/>
  <c r="AD5" i="128"/>
  <c r="AB14" i="128"/>
  <c r="AB25" i="128" s="1"/>
  <c r="AC4" i="128"/>
  <c r="AF8" i="128"/>
  <c r="AE18" i="128"/>
  <c r="AE29" i="128" s="1"/>
  <c r="AB9" i="128"/>
  <c r="AA19" i="128"/>
  <c r="AA30" i="128" s="1"/>
  <c r="AA16" i="128"/>
  <c r="AA27" i="128" s="1"/>
  <c r="AB6" i="128"/>
  <c r="AD7" i="128" l="1"/>
  <c r="AC17" i="128"/>
  <c r="AC28" i="128" s="1"/>
  <c r="AE5" i="128"/>
  <c r="AD15" i="128"/>
  <c r="AD26" i="128" s="1"/>
  <c r="AC3" i="128"/>
  <c r="AB13" i="128"/>
  <c r="AB24" i="128" s="1"/>
  <c r="C41" i="104"/>
  <c r="AC6" i="128"/>
  <c r="AB16" i="128"/>
  <c r="AB27" i="128" s="1"/>
  <c r="AC9" i="128"/>
  <c r="AB19" i="128"/>
  <c r="AB30" i="128" s="1"/>
  <c r="AC14" i="128"/>
  <c r="AC25" i="128" s="1"/>
  <c r="AD4" i="128"/>
  <c r="AF18" i="128"/>
  <c r="AF29" i="128" s="1"/>
  <c r="AG8" i="128"/>
  <c r="AD17" i="128" l="1"/>
  <c r="AD28" i="128" s="1"/>
  <c r="AE7" i="128"/>
  <c r="C50" i="104"/>
  <c r="AD3" i="128"/>
  <c r="AC13" i="128"/>
  <c r="AC24" i="128" s="1"/>
  <c r="AE15" i="128"/>
  <c r="AE26" i="128" s="1"/>
  <c r="AF5" i="128"/>
  <c r="AG18" i="128"/>
  <c r="AG29" i="128" s="1"/>
  <c r="AH8" i="128"/>
  <c r="AE4" i="128"/>
  <c r="AD14" i="128"/>
  <c r="AD25" i="128" s="1"/>
  <c r="AD9" i="128"/>
  <c r="AC19" i="128"/>
  <c r="AC30" i="128" s="1"/>
  <c r="AC16" i="128"/>
  <c r="AC27" i="128" s="1"/>
  <c r="AD6" i="128"/>
  <c r="AF7" i="128" l="1"/>
  <c r="AE17" i="128"/>
  <c r="AE28" i="128" s="1"/>
  <c r="C51" i="104"/>
  <c r="M24" i="107"/>
  <c r="M30" i="107" s="1"/>
  <c r="M33" i="107" s="1"/>
  <c r="X24" i="107"/>
  <c r="X30" i="107" s="1"/>
  <c r="X33" i="107" s="1"/>
  <c r="D24" i="107"/>
  <c r="D30" i="107" s="1"/>
  <c r="D33" i="107" s="1"/>
  <c r="H24" i="107"/>
  <c r="H30" i="107" s="1"/>
  <c r="H33" i="107" s="1"/>
  <c r="T24" i="107"/>
  <c r="T30" i="107" s="1"/>
  <c r="T33" i="107" s="1"/>
  <c r="L24" i="107"/>
  <c r="L30" i="107" s="1"/>
  <c r="L33" i="107" s="1"/>
  <c r="U24" i="107"/>
  <c r="U30" i="107" s="1"/>
  <c r="U33" i="107" s="1"/>
  <c r="P24" i="107"/>
  <c r="P30" i="107" s="1"/>
  <c r="P33" i="107" s="1"/>
  <c r="AB24" i="107"/>
  <c r="AB30" i="107" s="1"/>
  <c r="AB33" i="107" s="1"/>
  <c r="V24" i="107"/>
  <c r="V30" i="107" s="1"/>
  <c r="V33" i="107" s="1"/>
  <c r="I24" i="107"/>
  <c r="I30" i="107" s="1"/>
  <c r="I33" i="107" s="1"/>
  <c r="W24" i="107"/>
  <c r="W30" i="107" s="1"/>
  <c r="W33" i="107" s="1"/>
  <c r="AA24" i="107"/>
  <c r="AA30" i="107" s="1"/>
  <c r="AA33" i="107" s="1"/>
  <c r="Z24" i="107"/>
  <c r="Z30" i="107" s="1"/>
  <c r="Z33" i="107" s="1"/>
  <c r="S24" i="107"/>
  <c r="S30" i="107" s="1"/>
  <c r="S33" i="107" s="1"/>
  <c r="R24" i="107"/>
  <c r="R30" i="107" s="1"/>
  <c r="R33" i="107" s="1"/>
  <c r="Y24" i="107"/>
  <c r="Y30" i="107" s="1"/>
  <c r="Y33" i="107" s="1"/>
  <c r="F24" i="107"/>
  <c r="F30" i="107" s="1"/>
  <c r="F33" i="107" s="1"/>
  <c r="E24" i="107"/>
  <c r="E30" i="107" s="1"/>
  <c r="E33" i="107" s="1"/>
  <c r="Q24" i="107"/>
  <c r="Q30" i="107" s="1"/>
  <c r="Q33" i="107" s="1"/>
  <c r="G24" i="107"/>
  <c r="G30" i="107" s="1"/>
  <c r="G33" i="107" s="1"/>
  <c r="N24" i="107"/>
  <c r="N30" i="107" s="1"/>
  <c r="N33" i="107" s="1"/>
  <c r="O24" i="107"/>
  <c r="O30" i="107" s="1"/>
  <c r="O33" i="107" s="1"/>
  <c r="K24" i="107"/>
  <c r="K30" i="107" s="1"/>
  <c r="K33" i="107" s="1"/>
  <c r="J24" i="107"/>
  <c r="J30" i="107" s="1"/>
  <c r="J33" i="107" s="1"/>
  <c r="AG5" i="128"/>
  <c r="AF15" i="128"/>
  <c r="AF26" i="128" s="1"/>
  <c r="AE3" i="128"/>
  <c r="AD13" i="128"/>
  <c r="AD24" i="128" s="1"/>
  <c r="AD16" i="128"/>
  <c r="AD27" i="128" s="1"/>
  <c r="AE6" i="128"/>
  <c r="AE14" i="128"/>
  <c r="AE25" i="128" s="1"/>
  <c r="AF4" i="128"/>
  <c r="AD19" i="128"/>
  <c r="AD30" i="128" s="1"/>
  <c r="AE9" i="128"/>
  <c r="AI8" i="128"/>
  <c r="AH18" i="128"/>
  <c r="AH29" i="128" s="1"/>
  <c r="AF17" i="128" l="1"/>
  <c r="AF28" i="128" s="1"/>
  <c r="AG7" i="128"/>
  <c r="AE13" i="128"/>
  <c r="AE24" i="128" s="1"/>
  <c r="AF3" i="128"/>
  <c r="AH5" i="128"/>
  <c r="AG15" i="128"/>
  <c r="AG26" i="128" s="1"/>
  <c r="AI18" i="128"/>
  <c r="AI29" i="128" s="1"/>
  <c r="AJ8" i="128"/>
  <c r="AG4" i="128"/>
  <c r="AF14" i="128"/>
  <c r="AF25" i="128" s="1"/>
  <c r="AE19" i="128"/>
  <c r="AE30" i="128" s="1"/>
  <c r="AF9" i="128"/>
  <c r="AE16" i="128"/>
  <c r="AE27" i="128" s="1"/>
  <c r="AF6" i="128"/>
  <c r="AG17" i="128" l="1"/>
  <c r="AG28" i="128" s="1"/>
  <c r="AH7" i="128"/>
  <c r="AH15" i="128"/>
  <c r="AH26" i="128" s="1"/>
  <c r="AI5" i="128"/>
  <c r="AG3" i="128"/>
  <c r="AF13" i="128"/>
  <c r="AF24" i="128" s="1"/>
  <c r="AG9" i="128"/>
  <c r="AF19" i="128"/>
  <c r="AF30" i="128" s="1"/>
  <c r="AK8" i="128"/>
  <c r="AJ18" i="128"/>
  <c r="AJ29" i="128" s="1"/>
  <c r="AG6" i="128"/>
  <c r="AF16" i="128"/>
  <c r="AF27" i="128" s="1"/>
  <c r="AH4" i="128"/>
  <c r="AG14" i="128"/>
  <c r="AG25" i="128" s="1"/>
  <c r="AI7" i="128" l="1"/>
  <c r="AH17" i="128"/>
  <c r="AH28" i="128" s="1"/>
  <c r="AH3" i="128"/>
  <c r="AG13" i="128"/>
  <c r="AG24" i="128" s="1"/>
  <c r="AJ5" i="128"/>
  <c r="AI15" i="128"/>
  <c r="AI26" i="128" s="1"/>
  <c r="AH6" i="128"/>
  <c r="AG16" i="128"/>
  <c r="AG27" i="128" s="1"/>
  <c r="AI4" i="128"/>
  <c r="AH14" i="128"/>
  <c r="AH25" i="128" s="1"/>
  <c r="AL8" i="128"/>
  <c r="AK18" i="128"/>
  <c r="AK29" i="128" s="1"/>
  <c r="AG19" i="128"/>
  <c r="AG30" i="128" s="1"/>
  <c r="AH9" i="128"/>
  <c r="AI17" i="128" l="1"/>
  <c r="AI28" i="128" s="1"/>
  <c r="AJ7" i="128"/>
  <c r="AI3" i="128"/>
  <c r="AH13" i="128"/>
  <c r="AH24" i="128" s="1"/>
  <c r="AJ15" i="128"/>
  <c r="AJ26" i="128" s="1"/>
  <c r="AK5" i="128"/>
  <c r="AL18" i="128"/>
  <c r="AL29" i="128" s="1"/>
  <c r="AM8" i="128"/>
  <c r="AH19" i="128"/>
  <c r="AH30" i="128" s="1"/>
  <c r="AI9" i="128"/>
  <c r="AJ4" i="128"/>
  <c r="AI14" i="128"/>
  <c r="AI25" i="128" s="1"/>
  <c r="AH16" i="128"/>
  <c r="AH27" i="128" s="1"/>
  <c r="AI6" i="128"/>
  <c r="AJ17" i="128" l="1"/>
  <c r="AJ28" i="128" s="1"/>
  <c r="AK7" i="128"/>
  <c r="AI13" i="128"/>
  <c r="AI24" i="128" s="1"/>
  <c r="AJ3" i="128"/>
  <c r="AL5" i="128"/>
  <c r="AK15" i="128"/>
  <c r="AK26" i="128" s="1"/>
  <c r="AJ9" i="128"/>
  <c r="AI19" i="128"/>
  <c r="AI30" i="128" s="1"/>
  <c r="AI16" i="128"/>
  <c r="AI27" i="128" s="1"/>
  <c r="AJ6" i="128"/>
  <c r="AN8" i="128"/>
  <c r="AM18" i="128"/>
  <c r="AM29" i="128" s="1"/>
  <c r="AK4" i="128"/>
  <c r="AJ14" i="128"/>
  <c r="AJ25" i="128" s="1"/>
  <c r="AK17" i="128" l="1"/>
  <c r="AK28" i="128" s="1"/>
  <c r="AL7" i="128"/>
  <c r="AM5" i="128"/>
  <c r="AL15" i="128"/>
  <c r="AL26" i="128" s="1"/>
  <c r="AK3" i="128"/>
  <c r="AJ13" i="128"/>
  <c r="AJ24" i="128" s="1"/>
  <c r="AK6" i="128"/>
  <c r="AJ16" i="128"/>
  <c r="AJ27" i="128" s="1"/>
  <c r="AN18" i="128"/>
  <c r="AN29" i="128" s="1"/>
  <c r="AO8" i="128"/>
  <c r="AL4" i="128"/>
  <c r="AK14" i="128"/>
  <c r="AK25" i="128" s="1"/>
  <c r="AJ19" i="128"/>
  <c r="AJ30" i="128" s="1"/>
  <c r="AK9" i="128"/>
  <c r="AL17" i="128" l="1"/>
  <c r="AL28" i="128" s="1"/>
  <c r="AM7" i="128"/>
  <c r="AL3" i="128"/>
  <c r="AK13" i="128"/>
  <c r="AK24" i="128" s="1"/>
  <c r="AN5" i="128"/>
  <c r="AM15" i="128"/>
  <c r="AM26" i="128" s="1"/>
  <c r="AP8" i="128"/>
  <c r="AO18" i="128"/>
  <c r="AO29" i="128" s="1"/>
  <c r="AL6" i="128"/>
  <c r="AK16" i="128"/>
  <c r="AK27" i="128" s="1"/>
  <c r="AL9" i="128"/>
  <c r="AK19" i="128"/>
  <c r="AK30" i="128" s="1"/>
  <c r="AL14" i="128"/>
  <c r="AL25" i="128" s="1"/>
  <c r="AM4" i="128"/>
  <c r="AN7" i="128" l="1"/>
  <c r="AM17" i="128"/>
  <c r="AM28" i="128" s="1"/>
  <c r="AN15" i="128"/>
  <c r="AN26" i="128" s="1"/>
  <c r="AO5" i="128"/>
  <c r="AL13" i="128"/>
  <c r="AL24" i="128" s="1"/>
  <c r="AM3" i="128"/>
  <c r="AN4" i="128"/>
  <c r="AM14" i="128"/>
  <c r="AM25" i="128" s="1"/>
  <c r="AL16" i="128"/>
  <c r="AL27" i="128" s="1"/>
  <c r="AM6" i="128"/>
  <c r="AP18" i="128"/>
  <c r="AP29" i="128" s="1"/>
  <c r="AQ8" i="128"/>
  <c r="AM9" i="128"/>
  <c r="AL19" i="128"/>
  <c r="AL30" i="128" s="1"/>
  <c r="AN17" i="128" l="1"/>
  <c r="AN28" i="128" s="1"/>
  <c r="AO7" i="128"/>
  <c r="AM13" i="128"/>
  <c r="AM24" i="128" s="1"/>
  <c r="AN3" i="128"/>
  <c r="AO15" i="128"/>
  <c r="AO26" i="128" s="1"/>
  <c r="AP5" i="128"/>
  <c r="AQ18" i="128"/>
  <c r="AQ29" i="128" s="1"/>
  <c r="AR8" i="128"/>
  <c r="AM16" i="128"/>
  <c r="AM27" i="128" s="1"/>
  <c r="AN6" i="128"/>
  <c r="AM19" i="128"/>
  <c r="AM30" i="128" s="1"/>
  <c r="AN9" i="128"/>
  <c r="AO4" i="128"/>
  <c r="AN14" i="128"/>
  <c r="AN25" i="128" s="1"/>
  <c r="AO17" i="128" l="1"/>
  <c r="AO28" i="128" s="1"/>
  <c r="AP7" i="128"/>
  <c r="AO3" i="128"/>
  <c r="AN13" i="128"/>
  <c r="AN24" i="128" s="1"/>
  <c r="AP15" i="128"/>
  <c r="AP26" i="128" s="1"/>
  <c r="AQ5" i="128"/>
  <c r="AP4" i="128"/>
  <c r="AO14" i="128"/>
  <c r="AO25" i="128" s="1"/>
  <c r="AN16" i="128"/>
  <c r="AN27" i="128" s="1"/>
  <c r="AO6" i="128"/>
  <c r="AO9" i="128"/>
  <c r="AN19" i="128"/>
  <c r="AN30" i="128" s="1"/>
  <c r="AS8" i="128"/>
  <c r="AR18" i="128"/>
  <c r="AR29" i="128" s="1"/>
  <c r="AQ7" i="128" l="1"/>
  <c r="AP17" i="128"/>
  <c r="AP28" i="128" s="1"/>
  <c r="AR5" i="128"/>
  <c r="AQ15" i="128"/>
  <c r="AQ26" i="128" s="1"/>
  <c r="AO13" i="128"/>
  <c r="AO24" i="128" s="1"/>
  <c r="AP3" i="128"/>
  <c r="AO19" i="128"/>
  <c r="AO30" i="128" s="1"/>
  <c r="AP9" i="128"/>
  <c r="AS18" i="128"/>
  <c r="AS29" i="128" s="1"/>
  <c r="AT8" i="128"/>
  <c r="AO16" i="128"/>
  <c r="AO27" i="128" s="1"/>
  <c r="AP6" i="128"/>
  <c r="AQ4" i="128"/>
  <c r="AP14" i="128"/>
  <c r="AP25" i="128" s="1"/>
  <c r="AQ17" i="128" l="1"/>
  <c r="AQ28" i="128" s="1"/>
  <c r="AR7" i="128"/>
  <c r="AQ3" i="128"/>
  <c r="AP13" i="128"/>
  <c r="AP24" i="128" s="1"/>
  <c r="AR15" i="128"/>
  <c r="AR26" i="128" s="1"/>
  <c r="AS5" i="128"/>
  <c r="AQ14" i="128"/>
  <c r="AQ25" i="128" s="1"/>
  <c r="AR4" i="128"/>
  <c r="AT18" i="128"/>
  <c r="AT29" i="128" s="1"/>
  <c r="AU8" i="128"/>
  <c r="AP16" i="128"/>
  <c r="AP27" i="128" s="1"/>
  <c r="AQ6" i="128"/>
  <c r="AP19" i="128"/>
  <c r="AP30" i="128" s="1"/>
  <c r="AQ9" i="128"/>
  <c r="AR17" i="128" l="1"/>
  <c r="AR28" i="128" s="1"/>
  <c r="AS7" i="128"/>
  <c r="AT5" i="128"/>
  <c r="AS15" i="128"/>
  <c r="AS26" i="128" s="1"/>
  <c r="AQ13" i="128"/>
  <c r="AQ24" i="128" s="1"/>
  <c r="AR3" i="128"/>
  <c r="AV8" i="128"/>
  <c r="AU18" i="128"/>
  <c r="AU29" i="128" s="1"/>
  <c r="AR9" i="128"/>
  <c r="AQ19" i="128"/>
  <c r="AQ30" i="128" s="1"/>
  <c r="AS4" i="128"/>
  <c r="AR14" i="128"/>
  <c r="AR25" i="128" s="1"/>
  <c r="AQ16" i="128"/>
  <c r="AQ27" i="128" s="1"/>
  <c r="AR6" i="128"/>
  <c r="AS17" i="128" l="1"/>
  <c r="AS28" i="128" s="1"/>
  <c r="AT7" i="128"/>
  <c r="AS3" i="128"/>
  <c r="AR13" i="128"/>
  <c r="AR24" i="128" s="1"/>
  <c r="AT15" i="128"/>
  <c r="AT26" i="128" s="1"/>
  <c r="AU5" i="128"/>
  <c r="AV18" i="128"/>
  <c r="AV29" i="128" s="1"/>
  <c r="AW8" i="128"/>
  <c r="AS6" i="128"/>
  <c r="AR16" i="128"/>
  <c r="AR27" i="128" s="1"/>
  <c r="AR19" i="128"/>
  <c r="AR30" i="128" s="1"/>
  <c r="AS9" i="128"/>
  <c r="AT4" i="128"/>
  <c r="AS14" i="128"/>
  <c r="AS25" i="128" s="1"/>
  <c r="AT17" i="128" l="1"/>
  <c r="AT28" i="128" s="1"/>
  <c r="AU7" i="128"/>
  <c r="AV5" i="128"/>
  <c r="AU15" i="128"/>
  <c r="AU26" i="128" s="1"/>
  <c r="AS13" i="128"/>
  <c r="AS24" i="128" s="1"/>
  <c r="AT3" i="128"/>
  <c r="AT14" i="128"/>
  <c r="AT25" i="128" s="1"/>
  <c r="AU4" i="128"/>
  <c r="AS16" i="128"/>
  <c r="AS27" i="128" s="1"/>
  <c r="AT6" i="128"/>
  <c r="AT9" i="128"/>
  <c r="AS19" i="128"/>
  <c r="AS30" i="128" s="1"/>
  <c r="AW18" i="128"/>
  <c r="AW29" i="128" s="1"/>
  <c r="AX8" i="128"/>
  <c r="AV7" i="128" l="1"/>
  <c r="AU17" i="128"/>
  <c r="AU28" i="128" s="1"/>
  <c r="AU3" i="128"/>
  <c r="AT13" i="128"/>
  <c r="AT24" i="128" s="1"/>
  <c r="AV15" i="128"/>
  <c r="AV26" i="128" s="1"/>
  <c r="AW5" i="128"/>
  <c r="AU9" i="128"/>
  <c r="AT19" i="128"/>
  <c r="AT30" i="128" s="1"/>
  <c r="AU6" i="128"/>
  <c r="AT16" i="128"/>
  <c r="AT27" i="128" s="1"/>
  <c r="AY8" i="128"/>
  <c r="AX18" i="128"/>
  <c r="AX29" i="128" s="1"/>
  <c r="AV4" i="128"/>
  <c r="AU14" i="128"/>
  <c r="AU25" i="128" s="1"/>
  <c r="AW7" i="128" l="1"/>
  <c r="AV17" i="128"/>
  <c r="AV28" i="128" s="1"/>
  <c r="AW15" i="128"/>
  <c r="AW26" i="128" s="1"/>
  <c r="AX5" i="128"/>
  <c r="AV3" i="128"/>
  <c r="AU13" i="128"/>
  <c r="AU24" i="128" s="1"/>
  <c r="AV6" i="128"/>
  <c r="AU16" i="128"/>
  <c r="AU27" i="128" s="1"/>
  <c r="AY18" i="128"/>
  <c r="AY29" i="128" s="1"/>
  <c r="AZ8" i="128"/>
  <c r="AV14" i="128"/>
  <c r="AV25" i="128" s="1"/>
  <c r="AW4" i="128"/>
  <c r="AU19" i="128"/>
  <c r="AU30" i="128" s="1"/>
  <c r="AV9" i="128"/>
  <c r="AX7" i="128" l="1"/>
  <c r="AW17" i="128"/>
  <c r="AW28" i="128" s="1"/>
  <c r="AW3" i="128"/>
  <c r="AV13" i="128"/>
  <c r="AV24" i="128" s="1"/>
  <c r="AY5" i="128"/>
  <c r="AX15" i="128"/>
  <c r="AX26" i="128" s="1"/>
  <c r="BA8" i="128"/>
  <c r="AZ18" i="128"/>
  <c r="AZ29" i="128" s="1"/>
  <c r="AW14" i="128"/>
  <c r="AW25" i="128" s="1"/>
  <c r="AX4" i="128"/>
  <c r="AV16" i="128"/>
  <c r="AV27" i="128" s="1"/>
  <c r="AW6" i="128"/>
  <c r="AW9" i="128"/>
  <c r="AV19" i="128"/>
  <c r="AV30" i="128" s="1"/>
  <c r="AX17" i="128" l="1"/>
  <c r="AX28" i="128" s="1"/>
  <c r="AY7" i="128"/>
  <c r="AZ5" i="128"/>
  <c r="AY15" i="128"/>
  <c r="AY26" i="128" s="1"/>
  <c r="AX3" i="128"/>
  <c r="AW13" i="128"/>
  <c r="AW24" i="128" s="1"/>
  <c r="AX14" i="128"/>
  <c r="AX25" i="128" s="1"/>
  <c r="AY4" i="128"/>
  <c r="AW19" i="128"/>
  <c r="AW30" i="128" s="1"/>
  <c r="AX9" i="128"/>
  <c r="AW16" i="128"/>
  <c r="AW27" i="128" s="1"/>
  <c r="AX6" i="128"/>
  <c r="BB8" i="128"/>
  <c r="BA18" i="128"/>
  <c r="BA29" i="128" s="1"/>
  <c r="AZ7" i="128" l="1"/>
  <c r="AY17" i="128"/>
  <c r="AY28" i="128" s="1"/>
  <c r="AX13" i="128"/>
  <c r="AX24" i="128" s="1"/>
  <c r="AY3" i="128"/>
  <c r="BA5" i="128"/>
  <c r="AZ15" i="128"/>
  <c r="AZ26" i="128" s="1"/>
  <c r="AY14" i="128"/>
  <c r="AY25" i="128" s="1"/>
  <c r="AZ4" i="128"/>
  <c r="AX19" i="128"/>
  <c r="AX30" i="128" s="1"/>
  <c r="AY9" i="128"/>
  <c r="BB18" i="128"/>
  <c r="BB29" i="128" s="1"/>
  <c r="BC8" i="128"/>
  <c r="AY6" i="128"/>
  <c r="AX16" i="128"/>
  <c r="AX27" i="128" s="1"/>
  <c r="BA7" i="128" l="1"/>
  <c r="AZ17" i="128"/>
  <c r="AZ28" i="128" s="1"/>
  <c r="BA15" i="128"/>
  <c r="BA26" i="128" s="1"/>
  <c r="BB5" i="128"/>
  <c r="AY13" i="128"/>
  <c r="AY24" i="128" s="1"/>
  <c r="AZ3" i="128"/>
  <c r="BC18" i="128"/>
  <c r="BC29" i="128" s="1"/>
  <c r="BD8" i="128"/>
  <c r="AZ14" i="128"/>
  <c r="AZ25" i="128" s="1"/>
  <c r="BA4" i="128"/>
  <c r="AZ9" i="128"/>
  <c r="AY19" i="128"/>
  <c r="AY30" i="128" s="1"/>
  <c r="AY16" i="128"/>
  <c r="AY27" i="128" s="1"/>
  <c r="AZ6" i="128"/>
  <c r="BB7" i="128" l="1"/>
  <c r="BA17" i="128"/>
  <c r="BA28" i="128" s="1"/>
  <c r="BA3" i="128"/>
  <c r="AZ13" i="128"/>
  <c r="AZ24" i="128" s="1"/>
  <c r="BB15" i="128"/>
  <c r="BB26" i="128" s="1"/>
  <c r="BC5" i="128"/>
  <c r="BB4" i="128"/>
  <c r="BA14" i="128"/>
  <c r="BA25" i="128" s="1"/>
  <c r="BE8" i="128"/>
  <c r="BD18" i="128"/>
  <c r="BD29" i="128" s="1"/>
  <c r="AZ19" i="128"/>
  <c r="AZ30" i="128" s="1"/>
  <c r="BA9" i="128"/>
  <c r="BA6" i="128"/>
  <c r="AZ16" i="128"/>
  <c r="AZ27" i="128" s="1"/>
  <c r="BB17" i="128" l="1"/>
  <c r="BB28" i="128" s="1"/>
  <c r="BC7" i="128"/>
  <c r="BC15" i="128"/>
  <c r="BC26" i="128" s="1"/>
  <c r="BD5" i="128"/>
  <c r="BB3" i="128"/>
  <c r="BA13" i="128"/>
  <c r="BA24" i="128" s="1"/>
  <c r="BE18" i="128"/>
  <c r="BE29" i="128" s="1"/>
  <c r="BF8" i="128"/>
  <c r="BA19" i="128"/>
  <c r="BA30" i="128" s="1"/>
  <c r="BB9" i="128"/>
  <c r="BA16" i="128"/>
  <c r="BA27" i="128" s="1"/>
  <c r="BB6" i="128"/>
  <c r="BB14" i="128"/>
  <c r="BB25" i="128" s="1"/>
  <c r="BC4" i="128"/>
  <c r="BD7" i="128" l="1"/>
  <c r="BC17" i="128"/>
  <c r="BC28" i="128" s="1"/>
  <c r="BC3" i="128"/>
  <c r="BB13" i="128"/>
  <c r="BB24" i="128" s="1"/>
  <c r="BE5" i="128"/>
  <c r="BD15" i="128"/>
  <c r="BD26" i="128" s="1"/>
  <c r="BG8" i="128"/>
  <c r="BF18" i="128"/>
  <c r="BF29" i="128" s="1"/>
  <c r="BC14" i="128"/>
  <c r="BC25" i="128" s="1"/>
  <c r="BD4" i="128"/>
  <c r="BC9" i="128"/>
  <c r="BB19" i="128"/>
  <c r="BB30" i="128" s="1"/>
  <c r="BB16" i="128"/>
  <c r="BB27" i="128" s="1"/>
  <c r="BC6" i="128"/>
  <c r="BD17" i="128" l="1"/>
  <c r="BD28" i="128" s="1"/>
  <c r="BE7" i="128"/>
  <c r="BD3" i="128"/>
  <c r="BC13" i="128"/>
  <c r="BC24" i="128" s="1"/>
  <c r="BF5" i="128"/>
  <c r="BE15" i="128"/>
  <c r="BE26" i="128" s="1"/>
  <c r="BD14" i="128"/>
  <c r="BD25" i="128" s="1"/>
  <c r="BE4" i="128"/>
  <c r="BG18" i="128"/>
  <c r="BG29" i="128" s="1"/>
  <c r="BH8" i="128"/>
  <c r="BC19" i="128"/>
  <c r="BC30" i="128" s="1"/>
  <c r="BD9" i="128"/>
  <c r="BC16" i="128"/>
  <c r="BC27" i="128" s="1"/>
  <c r="BD6" i="128"/>
  <c r="BE17" i="128" l="1"/>
  <c r="BE28" i="128" s="1"/>
  <c r="BF7" i="128"/>
  <c r="BE3" i="128"/>
  <c r="BD13" i="128"/>
  <c r="BD24" i="128" s="1"/>
  <c r="BF15" i="128"/>
  <c r="BF26" i="128" s="1"/>
  <c r="BG5" i="128"/>
  <c r="BE6" i="128"/>
  <c r="BD16" i="128"/>
  <c r="BD27" i="128" s="1"/>
  <c r="BF4" i="128"/>
  <c r="BE14" i="128"/>
  <c r="BE25" i="128" s="1"/>
  <c r="BH18" i="128"/>
  <c r="BH29" i="128" s="1"/>
  <c r="BI8" i="128"/>
  <c r="BD19" i="128"/>
  <c r="BD30" i="128" s="1"/>
  <c r="BE9" i="128"/>
  <c r="BF17" i="128" l="1"/>
  <c r="BF28" i="128" s="1"/>
  <c r="BG7" i="128"/>
  <c r="BH5" i="128"/>
  <c r="BG15" i="128"/>
  <c r="BG26" i="128" s="1"/>
  <c r="BF3" i="128"/>
  <c r="BE13" i="128"/>
  <c r="BE24" i="128" s="1"/>
  <c r="BI18" i="128"/>
  <c r="BI29" i="128" s="1"/>
  <c r="BJ8" i="128"/>
  <c r="BF14" i="128"/>
  <c r="BF25" i="128" s="1"/>
  <c r="BG4" i="128"/>
  <c r="BE19" i="128"/>
  <c r="BE30" i="128" s="1"/>
  <c r="BF9" i="128"/>
  <c r="BF6" i="128"/>
  <c r="BE16" i="128"/>
  <c r="BE27" i="128" s="1"/>
  <c r="BH7" i="128" l="1"/>
  <c r="BG17" i="128"/>
  <c r="BG28" i="128" s="1"/>
  <c r="BF13" i="128"/>
  <c r="BF24" i="128" s="1"/>
  <c r="BG3" i="128"/>
  <c r="BH15" i="128"/>
  <c r="BH26" i="128" s="1"/>
  <c r="BI5" i="128"/>
  <c r="BF16" i="128"/>
  <c r="BF27" i="128" s="1"/>
  <c r="BG6" i="128"/>
  <c r="BG9" i="128"/>
  <c r="BF19" i="128"/>
  <c r="BF30" i="128" s="1"/>
  <c r="BJ18" i="128"/>
  <c r="BJ29" i="128" s="1"/>
  <c r="BK8" i="128"/>
  <c r="BH4" i="128"/>
  <c r="BG14" i="128"/>
  <c r="BG25" i="128" s="1"/>
  <c r="BH17" i="128" l="1"/>
  <c r="BH28" i="128" s="1"/>
  <c r="BI7" i="128"/>
  <c r="BG13" i="128"/>
  <c r="BG24" i="128" s="1"/>
  <c r="BH3" i="128"/>
  <c r="BJ5" i="128"/>
  <c r="BI15" i="128"/>
  <c r="BI26" i="128" s="1"/>
  <c r="BH14" i="128"/>
  <c r="BH25" i="128" s="1"/>
  <c r="BI4" i="128"/>
  <c r="BG19" i="128"/>
  <c r="BG30" i="128" s="1"/>
  <c r="BH9" i="128"/>
  <c r="BK18" i="128"/>
  <c r="BK29" i="128" s="1"/>
  <c r="BL8" i="128"/>
  <c r="BL18" i="128" s="1"/>
  <c r="BL29" i="128" s="1"/>
  <c r="BH6" i="128"/>
  <c r="BG16" i="128"/>
  <c r="BG27" i="128" s="1"/>
  <c r="BI17" i="128" l="1"/>
  <c r="BI28" i="128" s="1"/>
  <c r="BJ7" i="128"/>
  <c r="BK5" i="128"/>
  <c r="BJ15" i="128"/>
  <c r="BJ26" i="128" s="1"/>
  <c r="BH13" i="128"/>
  <c r="BH24" i="128" s="1"/>
  <c r="BI3" i="128"/>
  <c r="BI9" i="128"/>
  <c r="BH19" i="128"/>
  <c r="BH30" i="128" s="1"/>
  <c r="BJ4" i="128"/>
  <c r="BI14" i="128"/>
  <c r="BI25" i="128" s="1"/>
  <c r="BH16" i="128"/>
  <c r="BH27" i="128" s="1"/>
  <c r="BI6" i="128"/>
  <c r="BK7" i="128" l="1"/>
  <c r="BJ17" i="128"/>
  <c r="BJ28" i="128" s="1"/>
  <c r="BK15" i="128"/>
  <c r="BK26" i="128" s="1"/>
  <c r="BL5" i="128"/>
  <c r="BL15" i="128" s="1"/>
  <c r="BL26" i="128" s="1"/>
  <c r="BJ3" i="128"/>
  <c r="BI13" i="128"/>
  <c r="BI24" i="128" s="1"/>
  <c r="BJ9" i="128"/>
  <c r="BI19" i="128"/>
  <c r="BI30" i="128" s="1"/>
  <c r="BI16" i="128"/>
  <c r="BI27" i="128" s="1"/>
  <c r="BJ6" i="128"/>
  <c r="BJ14" i="128"/>
  <c r="BJ25" i="128" s="1"/>
  <c r="BK4" i="128"/>
  <c r="BK17" i="128" l="1"/>
  <c r="BK28" i="128" s="1"/>
  <c r="BL7" i="128"/>
  <c r="BL17" i="128" s="1"/>
  <c r="BL28" i="128" s="1"/>
  <c r="BK3" i="128"/>
  <c r="BJ13" i="128"/>
  <c r="BJ24" i="128" s="1"/>
  <c r="BL4" i="128"/>
  <c r="BL14" i="128" s="1"/>
  <c r="BL25" i="128" s="1"/>
  <c r="BK14" i="128"/>
  <c r="BK25" i="128" s="1"/>
  <c r="BK6" i="128"/>
  <c r="BJ16" i="128"/>
  <c r="BJ27" i="128" s="1"/>
  <c r="BJ19" i="128"/>
  <c r="BJ30" i="128" s="1"/>
  <c r="BK9" i="128"/>
  <c r="BK13" i="128" l="1"/>
  <c r="BK24" i="128" s="1"/>
  <c r="BL3" i="128"/>
  <c r="BL13" i="128" s="1"/>
  <c r="BL24" i="128" s="1"/>
  <c r="BK16" i="128"/>
  <c r="BK27" i="128" s="1"/>
  <c r="BL6" i="128"/>
  <c r="BL16" i="128" s="1"/>
  <c r="BL27" i="128" s="1"/>
  <c r="BK19" i="128"/>
  <c r="BK30" i="128" s="1"/>
  <c r="BL9" i="128"/>
  <c r="BL19" i="128" s="1"/>
  <c r="BL30" i="128" s="1"/>
  <c r="E17" i="104" l="1"/>
  <c r="C15" i="104"/>
  <c r="C17" i="104" l="1"/>
  <c r="E21" i="104"/>
  <c r="C16" i="104"/>
  <c r="C20" i="104"/>
  <c r="C21" i="104" l="1"/>
  <c r="C32" i="107" s="1"/>
  <c r="B32" i="107" s="1"/>
  <c r="E22" i="104"/>
  <c r="E24" i="104" s="1"/>
  <c r="C24" i="104" s="1"/>
  <c r="C31" i="107"/>
  <c r="B31" i="107" s="1"/>
  <c r="C34" i="107" l="1"/>
  <c r="B6" i="140"/>
  <c r="I15" i="140" s="1"/>
  <c r="K16" i="140"/>
  <c r="E27" i="104"/>
  <c r="C33" i="107"/>
  <c r="C36" i="107" s="1"/>
  <c r="K17" i="140" l="1"/>
  <c r="K18" i="140" s="1"/>
  <c r="K23" i="140"/>
  <c r="C22" i="104"/>
  <c r="K19" i="140" l="1"/>
  <c r="K9" i="140" s="1"/>
  <c r="K10" i="140" s="1"/>
  <c r="D35" i="107" s="1"/>
  <c r="K25" i="140"/>
  <c r="K27" i="140" s="1"/>
  <c r="K29" i="140"/>
  <c r="K24" i="140"/>
  <c r="B34" i="107"/>
  <c r="C37" i="107"/>
  <c r="C38" i="107"/>
  <c r="K20" i="140" l="1"/>
  <c r="L16" i="140" s="1"/>
  <c r="L17" i="140" s="1"/>
  <c r="L18" i="140" s="1"/>
  <c r="K26" i="140"/>
  <c r="K6" i="140" s="1"/>
  <c r="K35" i="140"/>
  <c r="K30" i="140"/>
  <c r="K31" i="140"/>
  <c r="K33" i="140" s="1"/>
  <c r="K32" i="140"/>
  <c r="K7" i="140" s="1"/>
  <c r="L25" i="140"/>
  <c r="L23" i="140"/>
  <c r="D36" i="107"/>
  <c r="D37" i="107"/>
  <c r="D39" i="107" s="1"/>
  <c r="B38" i="107"/>
  <c r="D40" i="107" l="1"/>
  <c r="D44" i="107" s="1"/>
  <c r="L27" i="140"/>
  <c r="M25" i="140" s="1"/>
  <c r="L19" i="140"/>
  <c r="L9" i="140" s="1"/>
  <c r="L10" i="140" s="1"/>
  <c r="E35" i="107" s="1"/>
  <c r="L24" i="140"/>
  <c r="L26" i="140" s="1"/>
  <c r="L6" i="140" s="1"/>
  <c r="L29" i="140"/>
  <c r="L32" i="140"/>
  <c r="L7" i="140" s="1"/>
  <c r="L31" i="140"/>
  <c r="L30" i="140"/>
  <c r="K39" i="140"/>
  <c r="K36" i="140"/>
  <c r="K38" i="140" s="1"/>
  <c r="K8" i="140" s="1"/>
  <c r="D42" i="107"/>
  <c r="M23" i="140" l="1"/>
  <c r="M24" i="140" s="1"/>
  <c r="M26" i="140" s="1"/>
  <c r="M6" i="140" s="1"/>
  <c r="D43" i="107"/>
  <c r="L20" i="140"/>
  <c r="M16" i="140" s="1"/>
  <c r="M17" i="140" s="1"/>
  <c r="L33" i="140"/>
  <c r="L35" i="140"/>
  <c r="L36" i="140" s="1"/>
  <c r="L37" i="140"/>
  <c r="E37" i="107"/>
  <c r="E36" i="107"/>
  <c r="AR41" i="107"/>
  <c r="D41" i="107"/>
  <c r="M27" i="140" l="1"/>
  <c r="N25" i="140" s="1"/>
  <c r="E39" i="107"/>
  <c r="E40" i="107" s="1"/>
  <c r="M18" i="140"/>
  <c r="M19" i="140" s="1"/>
  <c r="M9" i="140" s="1"/>
  <c r="M10" i="140" s="1"/>
  <c r="F35" i="107" s="1"/>
  <c r="L38" i="140"/>
  <c r="L8" i="140" s="1"/>
  <c r="L39" i="140"/>
  <c r="M32" i="140"/>
  <c r="M7" i="140" s="1"/>
  <c r="M31" i="140"/>
  <c r="M29" i="140"/>
  <c r="M30" i="140"/>
  <c r="E41" i="107" l="1"/>
  <c r="N23" i="140"/>
  <c r="N24" i="140" s="1"/>
  <c r="N26" i="140" s="1"/>
  <c r="N6" i="140" s="1"/>
  <c r="E42" i="107"/>
  <c r="M20" i="140"/>
  <c r="N16" i="140" s="1"/>
  <c r="N17" i="140" s="1"/>
  <c r="F36" i="107"/>
  <c r="F37" i="107"/>
  <c r="M35" i="140"/>
  <c r="M36" i="140" s="1"/>
  <c r="M37" i="140"/>
  <c r="M33" i="140"/>
  <c r="E43" i="107" l="1"/>
  <c r="E44" i="107" s="1"/>
  <c r="N27" i="140"/>
  <c r="O25" i="140" s="1"/>
  <c r="N18" i="140"/>
  <c r="N19" i="140" s="1"/>
  <c r="N9" i="140" s="1"/>
  <c r="N10" i="140" s="1"/>
  <c r="G35" i="107" s="1"/>
  <c r="M38" i="140"/>
  <c r="M8" i="140" s="1"/>
  <c r="N30" i="140"/>
  <c r="N31" i="140"/>
  <c r="N29" i="140"/>
  <c r="N32" i="140"/>
  <c r="N7" i="140" s="1"/>
  <c r="M39" i="140"/>
  <c r="F39" i="107"/>
  <c r="F42" i="107" s="1"/>
  <c r="F40" i="107" l="1"/>
  <c r="F43" i="107" s="1"/>
  <c r="O23" i="140"/>
  <c r="O27" i="140" s="1"/>
  <c r="N20" i="140"/>
  <c r="O16" i="140" s="1"/>
  <c r="O17" i="140" s="1"/>
  <c r="O18" i="140" s="1"/>
  <c r="N33" i="140"/>
  <c r="O29" i="140" s="1"/>
  <c r="N35" i="140"/>
  <c r="N36" i="140" s="1"/>
  <c r="N37" i="140"/>
  <c r="G36" i="107"/>
  <c r="G37" i="107"/>
  <c r="P25" i="140" l="1"/>
  <c r="P23" i="140"/>
  <c r="P24" i="140" s="1"/>
  <c r="O24" i="140"/>
  <c r="O26" i="140" s="1"/>
  <c r="O6" i="140" s="1"/>
  <c r="G39" i="107"/>
  <c r="G42" i="107" s="1"/>
  <c r="F44" i="107"/>
  <c r="O31" i="140"/>
  <c r="O33" i="140" s="1"/>
  <c r="O32" i="140"/>
  <c r="O7" i="140" s="1"/>
  <c r="O30" i="140"/>
  <c r="N38" i="140"/>
  <c r="N8" i="140" s="1"/>
  <c r="O19" i="140"/>
  <c r="O9" i="140" s="1"/>
  <c r="O10" i="140" s="1"/>
  <c r="H35" i="107" s="1"/>
  <c r="F41" i="107"/>
  <c r="N39" i="140"/>
  <c r="G40" i="107" l="1"/>
  <c r="G43" i="107" s="1"/>
  <c r="G44" i="107" s="1"/>
  <c r="P26" i="140"/>
  <c r="P6" i="140" s="1"/>
  <c r="P27" i="140"/>
  <c r="O20" i="140"/>
  <c r="P16" i="140" s="1"/>
  <c r="P17" i="140" s="1"/>
  <c r="P18" i="140" s="1"/>
  <c r="P31" i="140"/>
  <c r="P32" i="140"/>
  <c r="P7" i="140" s="1"/>
  <c r="P29" i="140"/>
  <c r="P30" i="140"/>
  <c r="O37" i="140"/>
  <c r="O35" i="140"/>
  <c r="O36" i="140" s="1"/>
  <c r="H36" i="107"/>
  <c r="H37" i="107"/>
  <c r="Q25" i="140" l="1"/>
  <c r="Q23" i="140"/>
  <c r="G41" i="107"/>
  <c r="P33" i="140"/>
  <c r="Q29" i="140" s="1"/>
  <c r="O38" i="140"/>
  <c r="O8" i="140" s="1"/>
  <c r="O39" i="140"/>
  <c r="P35" i="140" s="1"/>
  <c r="H39" i="107"/>
  <c r="H42" i="107" s="1"/>
  <c r="P19" i="140"/>
  <c r="P9" i="140" s="1"/>
  <c r="P10" i="140" s="1"/>
  <c r="I35" i="107" s="1"/>
  <c r="H40" i="107" l="1"/>
  <c r="H43" i="107" s="1"/>
  <c r="Q24" i="140"/>
  <c r="Q26" i="140" s="1"/>
  <c r="Q6" i="140" s="1"/>
  <c r="Q27" i="140"/>
  <c r="Q31" i="140"/>
  <c r="Q33" i="140" s="1"/>
  <c r="Q30" i="140"/>
  <c r="Q32" i="140"/>
  <c r="Q7" i="140" s="1"/>
  <c r="P36" i="140"/>
  <c r="P37" i="140"/>
  <c r="P39" i="140" s="1"/>
  <c r="P20" i="140"/>
  <c r="Q16" i="140" s="1"/>
  <c r="Q17" i="140" s="1"/>
  <c r="Q18" i="140" s="1"/>
  <c r="I36" i="107"/>
  <c r="I37" i="107"/>
  <c r="R25" i="140" l="1"/>
  <c r="R23" i="140"/>
  <c r="R24" i="140" s="1"/>
  <c r="H44" i="107"/>
  <c r="I39" i="107"/>
  <c r="I42" i="107" s="1"/>
  <c r="P38" i="140"/>
  <c r="P8" i="140" s="1"/>
  <c r="A100" i="107"/>
  <c r="I3" i="123" s="1"/>
  <c r="H41" i="107"/>
  <c r="Q37" i="140"/>
  <c r="Q35" i="140"/>
  <c r="Q36" i="140" s="1"/>
  <c r="Q19" i="140"/>
  <c r="Q9" i="140" s="1"/>
  <c r="Q10" i="140" s="1"/>
  <c r="J35" i="107" s="1"/>
  <c r="R29" i="140"/>
  <c r="R30" i="140"/>
  <c r="R32" i="140"/>
  <c r="R7" i="140" s="1"/>
  <c r="R31" i="140"/>
  <c r="I40" i="107" l="1"/>
  <c r="I43" i="107" s="1"/>
  <c r="I44" i="107" s="1"/>
  <c r="R26" i="140"/>
  <c r="R6" i="140" s="1"/>
  <c r="R27" i="140"/>
  <c r="Q38" i="140"/>
  <c r="Q8" i="140" s="1"/>
  <c r="Q20" i="140"/>
  <c r="R16" i="140" s="1"/>
  <c r="R17" i="140" s="1"/>
  <c r="R33" i="140"/>
  <c r="Q39" i="140"/>
  <c r="J36" i="107"/>
  <c r="J37" i="107"/>
  <c r="S23" i="140" l="1"/>
  <c r="S24" i="140" s="1"/>
  <c r="S25" i="140"/>
  <c r="I41" i="107"/>
  <c r="R18" i="140"/>
  <c r="R19" i="140" s="1"/>
  <c r="R9" i="140" s="1"/>
  <c r="R10" i="140" s="1"/>
  <c r="K35" i="107" s="1"/>
  <c r="J39" i="107"/>
  <c r="J42" i="107" s="1"/>
  <c r="R37" i="140"/>
  <c r="R35" i="140"/>
  <c r="S32" i="140"/>
  <c r="S7" i="140" s="1"/>
  <c r="S31" i="140"/>
  <c r="S30" i="140"/>
  <c r="S29" i="140"/>
  <c r="J40" i="107" l="1"/>
  <c r="J43" i="107" s="1"/>
  <c r="J44" i="107" s="1"/>
  <c r="S26" i="140"/>
  <c r="S6" i="140" s="1"/>
  <c r="S27" i="140"/>
  <c r="T23" i="140" s="1"/>
  <c r="R20" i="140"/>
  <c r="S16" i="140" s="1"/>
  <c r="S17" i="140" s="1"/>
  <c r="S18" i="140" s="1"/>
  <c r="R39" i="140"/>
  <c r="S37" i="140" s="1"/>
  <c r="S33" i="140"/>
  <c r="T31" i="140" s="1"/>
  <c r="K36" i="107"/>
  <c r="K37" i="107"/>
  <c r="R36" i="140"/>
  <c r="R38" i="140" s="1"/>
  <c r="R8" i="140" s="1"/>
  <c r="T25" i="140" l="1"/>
  <c r="T27" i="140" s="1"/>
  <c r="T24" i="140"/>
  <c r="S35" i="140"/>
  <c r="S36" i="140" s="1"/>
  <c r="S38" i="140" s="1"/>
  <c r="S8" i="140" s="1"/>
  <c r="T29" i="140"/>
  <c r="T33" i="140" s="1"/>
  <c r="T32" i="140"/>
  <c r="T7" i="140" s="1"/>
  <c r="K39" i="107"/>
  <c r="K42" i="107" s="1"/>
  <c r="T30" i="140"/>
  <c r="J41" i="107"/>
  <c r="S19" i="140"/>
  <c r="S9" i="140" s="1"/>
  <c r="S10" i="140" s="1"/>
  <c r="L35" i="107" s="1"/>
  <c r="K40" i="107" l="1"/>
  <c r="K43" i="107" s="1"/>
  <c r="K44" i="107" s="1"/>
  <c r="T26" i="140"/>
  <c r="T6" i="140" s="1"/>
  <c r="U25" i="140"/>
  <c r="U24" i="140"/>
  <c r="U23" i="140"/>
  <c r="S39" i="140"/>
  <c r="L36" i="107"/>
  <c r="L37" i="107"/>
  <c r="U31" i="140"/>
  <c r="U29" i="140"/>
  <c r="U30" i="140"/>
  <c r="U32" i="140"/>
  <c r="U7" i="140" s="1"/>
  <c r="S20" i="140"/>
  <c r="T16" i="140" s="1"/>
  <c r="U27" i="140" l="1"/>
  <c r="V23" i="140" s="1"/>
  <c r="U26" i="140"/>
  <c r="U6" i="140" s="1"/>
  <c r="K41" i="107"/>
  <c r="T37" i="140"/>
  <c r="T35" i="140"/>
  <c r="U33" i="140"/>
  <c r="V29" i="140" s="1"/>
  <c r="L39" i="107"/>
  <c r="L42" i="107" s="1"/>
  <c r="T17" i="140"/>
  <c r="T18" i="140" s="1"/>
  <c r="L40" i="107" l="1"/>
  <c r="L43" i="107" s="1"/>
  <c r="L44" i="107" s="1"/>
  <c r="V25" i="140"/>
  <c r="V27" i="140" s="1"/>
  <c r="V24" i="140"/>
  <c r="T36" i="140"/>
  <c r="T38" i="140" s="1"/>
  <c r="T8" i="140" s="1"/>
  <c r="T39" i="140"/>
  <c r="V31" i="140"/>
  <c r="V33" i="140" s="1"/>
  <c r="V30" i="140"/>
  <c r="V32" i="140"/>
  <c r="V7" i="140" s="1"/>
  <c r="T19" i="140"/>
  <c r="T9" i="140" s="1"/>
  <c r="T10" i="140" s="1"/>
  <c r="M35" i="107" s="1"/>
  <c r="V26" i="140" l="1"/>
  <c r="V6" i="140" s="1"/>
  <c r="W25" i="140"/>
  <c r="W23" i="140"/>
  <c r="U37" i="140"/>
  <c r="U35" i="140"/>
  <c r="T20" i="140"/>
  <c r="U16" i="140" s="1"/>
  <c r="U17" i="140" s="1"/>
  <c r="U18" i="140" s="1"/>
  <c r="L41" i="107"/>
  <c r="W32" i="140"/>
  <c r="W7" i="140" s="1"/>
  <c r="W29" i="140"/>
  <c r="W30" i="140"/>
  <c r="W31" i="140"/>
  <c r="M36" i="107"/>
  <c r="M37" i="107"/>
  <c r="W24" i="140" l="1"/>
  <c r="W26" i="140" s="1"/>
  <c r="W6" i="140" s="1"/>
  <c r="W27" i="140"/>
  <c r="W33" i="140"/>
  <c r="X31" i="140" s="1"/>
  <c r="U36" i="140"/>
  <c r="U38" i="140" s="1"/>
  <c r="U8" i="140" s="1"/>
  <c r="U39" i="140"/>
  <c r="M39" i="107"/>
  <c r="M42" i="107" s="1"/>
  <c r="U19" i="140"/>
  <c r="U9" i="140" s="1"/>
  <c r="U10" i="140" s="1"/>
  <c r="N35" i="107" s="1"/>
  <c r="M40" i="107" l="1"/>
  <c r="M43" i="107" s="1"/>
  <c r="M44" i="107" s="1"/>
  <c r="X24" i="140"/>
  <c r="X25" i="140"/>
  <c r="X23" i="140"/>
  <c r="X29" i="140"/>
  <c r="X33" i="140" s="1"/>
  <c r="X32" i="140"/>
  <c r="X7" i="140" s="1"/>
  <c r="X30" i="140"/>
  <c r="V35" i="140"/>
  <c r="V37" i="140"/>
  <c r="V36" i="140"/>
  <c r="U20" i="140"/>
  <c r="V16" i="140" s="1"/>
  <c r="V17" i="140" s="1"/>
  <c r="V18" i="140" s="1"/>
  <c r="N36" i="107"/>
  <c r="N37" i="107"/>
  <c r="X27" i="140" l="1"/>
  <c r="X26" i="140"/>
  <c r="X6" i="140" s="1"/>
  <c r="V38" i="140"/>
  <c r="V8" i="140" s="1"/>
  <c r="V39" i="140"/>
  <c r="Y32" i="140"/>
  <c r="Y7" i="140" s="1"/>
  <c r="Y30" i="140"/>
  <c r="Y29" i="140"/>
  <c r="Y31" i="140"/>
  <c r="M41" i="107"/>
  <c r="N39" i="107"/>
  <c r="N42" i="107" s="1"/>
  <c r="V19" i="140"/>
  <c r="V9" i="140" s="1"/>
  <c r="V10" i="140" s="1"/>
  <c r="O35" i="107" s="1"/>
  <c r="N40" i="107" l="1"/>
  <c r="N43" i="107" s="1"/>
  <c r="N44" i="107" s="1"/>
  <c r="Y23" i="140"/>
  <c r="Y25" i="140"/>
  <c r="Y24" i="140"/>
  <c r="W37" i="140"/>
  <c r="W35" i="140"/>
  <c r="W36" i="140"/>
  <c r="V20" i="140"/>
  <c r="W16" i="140" s="1"/>
  <c r="W17" i="140" s="1"/>
  <c r="W18" i="140" s="1"/>
  <c r="W19" i="140" s="1"/>
  <c r="W9" i="140" s="1"/>
  <c r="W10" i="140" s="1"/>
  <c r="P35" i="107" s="1"/>
  <c r="Y33" i="140"/>
  <c r="O36" i="107"/>
  <c r="O37" i="107"/>
  <c r="Y26" i="140" l="1"/>
  <c r="Y6" i="140" s="1"/>
  <c r="Y27" i="140"/>
  <c r="W38" i="140"/>
  <c r="W8" i="140" s="1"/>
  <c r="W39" i="140"/>
  <c r="O39" i="107"/>
  <c r="O42" i="107" s="1"/>
  <c r="W20" i="140"/>
  <c r="X16" i="140" s="1"/>
  <c r="X17" i="140" s="1"/>
  <c r="X18" i="140" s="1"/>
  <c r="P36" i="107"/>
  <c r="P37" i="107"/>
  <c r="N41" i="107"/>
  <c r="Z32" i="140"/>
  <c r="Z7" i="140" s="1"/>
  <c r="Z29" i="140"/>
  <c r="Z30" i="140"/>
  <c r="Z31" i="140"/>
  <c r="O40" i="107" l="1"/>
  <c r="O43" i="107" s="1"/>
  <c r="O44" i="107" s="1"/>
  <c r="Z23" i="140"/>
  <c r="Z24" i="140"/>
  <c r="Z25" i="140"/>
  <c r="X35" i="140"/>
  <c r="X36" i="140"/>
  <c r="X37" i="140"/>
  <c r="Z33" i="140"/>
  <c r="AA29" i="140" s="1"/>
  <c r="X19" i="140"/>
  <c r="X9" i="140" s="1"/>
  <c r="X10" i="140" s="1"/>
  <c r="Q35" i="107" s="1"/>
  <c r="P39" i="107"/>
  <c r="P42" i="107" s="1"/>
  <c r="P40" i="107" l="1"/>
  <c r="P43" i="107" s="1"/>
  <c r="P44" i="107" s="1"/>
  <c r="Z27" i="140"/>
  <c r="AA24" i="140" s="1"/>
  <c r="Z26" i="140"/>
  <c r="Z6" i="140" s="1"/>
  <c r="O41" i="107"/>
  <c r="AA32" i="140"/>
  <c r="AA7" i="140" s="1"/>
  <c r="AA30" i="140"/>
  <c r="AA31" i="140"/>
  <c r="AA33" i="140" s="1"/>
  <c r="AB31" i="140" s="1"/>
  <c r="X38" i="140"/>
  <c r="X8" i="140" s="1"/>
  <c r="X39" i="140"/>
  <c r="X20" i="140"/>
  <c r="Y16" i="140" s="1"/>
  <c r="Y17" i="140" s="1"/>
  <c r="Y18" i="140" s="1"/>
  <c r="Q36" i="107"/>
  <c r="Q37" i="107"/>
  <c r="AA23" i="140" l="1"/>
  <c r="AA25" i="140"/>
  <c r="AA26" i="140" s="1"/>
  <c r="AA6" i="140" s="1"/>
  <c r="Y35" i="140"/>
  <c r="Y37" i="140"/>
  <c r="Y36" i="140"/>
  <c r="AB32" i="140"/>
  <c r="AB7" i="140" s="1"/>
  <c r="AB29" i="140"/>
  <c r="AB33" i="140" s="1"/>
  <c r="AB30" i="140"/>
  <c r="Q39" i="107"/>
  <c r="Q42" i="107" s="1"/>
  <c r="Y19" i="140"/>
  <c r="Y9" i="140" s="1"/>
  <c r="Y10" i="140" s="1"/>
  <c r="R35" i="107" s="1"/>
  <c r="P41" i="107"/>
  <c r="Q40" i="107" l="1"/>
  <c r="Q43" i="107" s="1"/>
  <c r="Q44" i="107" s="1"/>
  <c r="AA27" i="140"/>
  <c r="AB24" i="140" s="1"/>
  <c r="Y38" i="140"/>
  <c r="Y8" i="140" s="1"/>
  <c r="Y39" i="140"/>
  <c r="Y20" i="140"/>
  <c r="Z16" i="140" s="1"/>
  <c r="Z17" i="140" s="1"/>
  <c r="Z18" i="140" s="1"/>
  <c r="AC30" i="140"/>
  <c r="AC29" i="140"/>
  <c r="AC32" i="140"/>
  <c r="AC7" i="140" s="1"/>
  <c r="AC31" i="140"/>
  <c r="R36" i="107"/>
  <c r="R37" i="107"/>
  <c r="AB25" i="140" l="1"/>
  <c r="AB26" i="140" s="1"/>
  <c r="AB6" i="140" s="1"/>
  <c r="AB23" i="140"/>
  <c r="Z37" i="140"/>
  <c r="Z36" i="140"/>
  <c r="Z35" i="140"/>
  <c r="Q41" i="107"/>
  <c r="Z19" i="140"/>
  <c r="Z9" i="140" s="1"/>
  <c r="Z10" i="140" s="1"/>
  <c r="S35" i="107" s="1"/>
  <c r="AC33" i="140"/>
  <c r="R39" i="107"/>
  <c r="R42" i="107" s="1"/>
  <c r="AB27" i="140" l="1"/>
  <c r="AC23" i="140" s="1"/>
  <c r="R40" i="107"/>
  <c r="R43" i="107" s="1"/>
  <c r="R44" i="107" s="1"/>
  <c r="Z38" i="140"/>
  <c r="Z8" i="140" s="1"/>
  <c r="Z39" i="140"/>
  <c r="AA36" i="140" s="1"/>
  <c r="Z20" i="140"/>
  <c r="AA16" i="140" s="1"/>
  <c r="AA17" i="140" s="1"/>
  <c r="AA18" i="140" s="1"/>
  <c r="AD30" i="140"/>
  <c r="AD29" i="140"/>
  <c r="AD32" i="140"/>
  <c r="AD7" i="140" s="1"/>
  <c r="AD31" i="140"/>
  <c r="S36" i="107"/>
  <c r="S37" i="107"/>
  <c r="AD10" i="107"/>
  <c r="AC9" i="107"/>
  <c r="AC8" i="107"/>
  <c r="AC24" i="107" s="1"/>
  <c r="B24" i="107" s="1"/>
  <c r="AC13" i="107"/>
  <c r="B13" i="107" s="1"/>
  <c r="AC14" i="107"/>
  <c r="B14" i="107" s="1"/>
  <c r="AC15" i="107"/>
  <c r="B15" i="107" s="1"/>
  <c r="AC25" i="140" l="1"/>
  <c r="AC27" i="140" s="1"/>
  <c r="AC24" i="140"/>
  <c r="AA35" i="140"/>
  <c r="AA37" i="140"/>
  <c r="AA38" i="140" s="1"/>
  <c r="AA8" i="140" s="1"/>
  <c r="S39" i="107"/>
  <c r="S42" i="107" s="1"/>
  <c r="AD33" i="140"/>
  <c r="AA19" i="140"/>
  <c r="AA9" i="140" s="1"/>
  <c r="AA10" i="140" s="1"/>
  <c r="T35" i="107" s="1"/>
  <c r="R41" i="107"/>
  <c r="AC21" i="107"/>
  <c r="B21" i="107" s="1"/>
  <c r="AC20" i="107"/>
  <c r="AC25" i="107"/>
  <c r="B25" i="107" s="1"/>
  <c r="AC19" i="107"/>
  <c r="B19" i="107" s="1"/>
  <c r="AC26" i="140" l="1"/>
  <c r="AC6" i="140" s="1"/>
  <c r="S40" i="107"/>
  <c r="S43" i="107" s="1"/>
  <c r="S44" i="107" s="1"/>
  <c r="AD23" i="140"/>
  <c r="AD24" i="140" s="1"/>
  <c r="AD25" i="140"/>
  <c r="AA39" i="140"/>
  <c r="AB35" i="140" s="1"/>
  <c r="AA20" i="140"/>
  <c r="AB16" i="140" s="1"/>
  <c r="AB17" i="140" s="1"/>
  <c r="AB18" i="140" s="1"/>
  <c r="T36" i="107"/>
  <c r="T37" i="107"/>
  <c r="AE32" i="140"/>
  <c r="AE7" i="140" s="1"/>
  <c r="AE30" i="140"/>
  <c r="AE29" i="140"/>
  <c r="AE31" i="140"/>
  <c r="B30" i="107"/>
  <c r="AC30" i="107"/>
  <c r="AC33" i="107" s="1"/>
  <c r="B46" i="107" s="1"/>
  <c r="AD27" i="140" l="1"/>
  <c r="AE25" i="140" s="1"/>
  <c r="AD26" i="140"/>
  <c r="AD6" i="140" s="1"/>
  <c r="AB37" i="140"/>
  <c r="AB39" i="140" s="1"/>
  <c r="AB36" i="140"/>
  <c r="S41" i="107"/>
  <c r="AB19" i="140"/>
  <c r="AB9" i="140" s="1"/>
  <c r="AB10" i="140" s="1"/>
  <c r="U35" i="107" s="1"/>
  <c r="T39" i="107"/>
  <c r="T42" i="107" s="1"/>
  <c r="B47" i="107"/>
  <c r="A177" i="107" s="1"/>
  <c r="AE33" i="140"/>
  <c r="AC39" i="107"/>
  <c r="AC42" i="107"/>
  <c r="A69" i="107"/>
  <c r="E3" i="123"/>
  <c r="T40" i="107" l="1"/>
  <c r="T43" i="107" s="1"/>
  <c r="T44" i="107" s="1"/>
  <c r="AE24" i="140"/>
  <c r="AE26" i="140" s="1"/>
  <c r="AE6" i="140" s="1"/>
  <c r="AE23" i="140"/>
  <c r="AE27" i="140" s="1"/>
  <c r="AF23" i="140" s="1"/>
  <c r="AB38" i="140"/>
  <c r="AB8" i="140" s="1"/>
  <c r="AC35" i="140"/>
  <c r="AC37" i="140"/>
  <c r="AC36" i="140"/>
  <c r="AB20" i="140"/>
  <c r="AC16" i="140" s="1"/>
  <c r="AC17" i="140" s="1"/>
  <c r="U36" i="107"/>
  <c r="U37" i="107"/>
  <c r="AF32" i="140"/>
  <c r="AF7" i="140" s="1"/>
  <c r="AF30" i="140"/>
  <c r="AF31" i="140"/>
  <c r="AF29" i="140"/>
  <c r="AC41" i="107"/>
  <c r="AF25" i="140" l="1"/>
  <c r="AF24" i="140"/>
  <c r="AC38" i="140"/>
  <c r="AC8" i="140" s="1"/>
  <c r="AC39" i="140"/>
  <c r="AD37" i="140" s="1"/>
  <c r="AF33" i="140"/>
  <c r="AG32" i="140" s="1"/>
  <c r="AG7" i="140" s="1"/>
  <c r="T41" i="107"/>
  <c r="AC18" i="140"/>
  <c r="AC19" i="140" s="1"/>
  <c r="AC9" i="140" s="1"/>
  <c r="AC10" i="140" s="1"/>
  <c r="V35" i="107" s="1"/>
  <c r="U39" i="107"/>
  <c r="U42" i="107" s="1"/>
  <c r="U40" i="107" l="1"/>
  <c r="U43" i="107" s="1"/>
  <c r="U44" i="107" s="1"/>
  <c r="AF26" i="140"/>
  <c r="AF6" i="140" s="1"/>
  <c r="AF27" i="140"/>
  <c r="AG25" i="140" s="1"/>
  <c r="AD36" i="140"/>
  <c r="AD38" i="140" s="1"/>
  <c r="AD8" i="140" s="1"/>
  <c r="AD35" i="140"/>
  <c r="AD39" i="140" s="1"/>
  <c r="AG30" i="140"/>
  <c r="AG29" i="140"/>
  <c r="AG31" i="140"/>
  <c r="AC20" i="140"/>
  <c r="AD16" i="140" s="1"/>
  <c r="AD17" i="140" s="1"/>
  <c r="V36" i="107"/>
  <c r="V37" i="107"/>
  <c r="AG23" i="140" l="1"/>
  <c r="AG27" i="140" s="1"/>
  <c r="AG24" i="140"/>
  <c r="AG26" i="140" s="1"/>
  <c r="AG6" i="140" s="1"/>
  <c r="AG33" i="140"/>
  <c r="AH31" i="140" s="1"/>
  <c r="U41" i="107"/>
  <c r="AE37" i="140"/>
  <c r="AE35" i="140"/>
  <c r="AE36" i="140"/>
  <c r="AD18" i="140"/>
  <c r="AD19" i="140" s="1"/>
  <c r="AD9" i="140" s="1"/>
  <c r="AD10" i="140" s="1"/>
  <c r="W35" i="107" s="1"/>
  <c r="V39" i="107"/>
  <c r="V40" i="107" s="1"/>
  <c r="AH32" i="140" l="1"/>
  <c r="AH7" i="140" s="1"/>
  <c r="AH29" i="140"/>
  <c r="AH33" i="140" s="1"/>
  <c r="AI30" i="140" s="1"/>
  <c r="AH30" i="140"/>
  <c r="AH23" i="140"/>
  <c r="AH24" i="140" s="1"/>
  <c r="AH25" i="140"/>
  <c r="AE38" i="140"/>
  <c r="AE8" i="140" s="1"/>
  <c r="AE39" i="140"/>
  <c r="AF36" i="140" s="1"/>
  <c r="V43" i="107"/>
  <c r="V44" i="107" s="1"/>
  <c r="W36" i="107"/>
  <c r="W37" i="107"/>
  <c r="V41" i="107"/>
  <c r="AD20" i="140"/>
  <c r="AE16" i="140" s="1"/>
  <c r="V42" i="107"/>
  <c r="AI29" i="140" l="1"/>
  <c r="AI31" i="140"/>
  <c r="AI32" i="140"/>
  <c r="AI7" i="140" s="1"/>
  <c r="AH27" i="140"/>
  <c r="AI25" i="140" s="1"/>
  <c r="AH26" i="140"/>
  <c r="AH6" i="140" s="1"/>
  <c r="AF35" i="140"/>
  <c r="AF37" i="140"/>
  <c r="AF38" i="140" s="1"/>
  <c r="AF8" i="140" s="1"/>
  <c r="W39" i="107"/>
  <c r="W40" i="107" s="1"/>
  <c r="AE17" i="140"/>
  <c r="AE18" i="140" s="1"/>
  <c r="AI23" i="140" l="1"/>
  <c r="AI27" i="140" s="1"/>
  <c r="AJ25" i="140" s="1"/>
  <c r="AI24" i="140"/>
  <c r="AI26" i="140" s="1"/>
  <c r="AI6" i="140" s="1"/>
  <c r="AI33" i="140"/>
  <c r="AJ31" i="140" s="1"/>
  <c r="AF39" i="140"/>
  <c r="AG35" i="140" s="1"/>
  <c r="W42" i="107"/>
  <c r="AE19" i="140"/>
  <c r="AE9" i="140" s="1"/>
  <c r="AE10" i="140" s="1"/>
  <c r="X35" i="107" s="1"/>
  <c r="W43" i="107"/>
  <c r="W44" i="107" s="1"/>
  <c r="AJ24" i="140" l="1"/>
  <c r="AJ26" i="140" s="1"/>
  <c r="AJ6" i="140" s="1"/>
  <c r="AJ23" i="140"/>
  <c r="AJ27" i="140" s="1"/>
  <c r="AJ30" i="140"/>
  <c r="AG37" i="140"/>
  <c r="AG39" i="140" s="1"/>
  <c r="AH37" i="140" s="1"/>
  <c r="AJ29" i="140"/>
  <c r="AJ33" i="140" s="1"/>
  <c r="AK30" i="140" s="1"/>
  <c r="AJ32" i="140"/>
  <c r="AJ7" i="140" s="1"/>
  <c r="AG36" i="140"/>
  <c r="AE20" i="140"/>
  <c r="AF16" i="140" s="1"/>
  <c r="AF17" i="140" s="1"/>
  <c r="AF18" i="140" s="1"/>
  <c r="W41" i="107"/>
  <c r="X36" i="107"/>
  <c r="X37" i="107"/>
  <c r="AG38" i="140" l="1"/>
  <c r="AG8" i="140" s="1"/>
  <c r="AH35" i="140"/>
  <c r="AH39" i="140" s="1"/>
  <c r="AH36" i="140"/>
  <c r="AH38" i="140" s="1"/>
  <c r="AH8" i="140" s="1"/>
  <c r="AK29" i="140"/>
  <c r="AK31" i="140"/>
  <c r="AK32" i="140"/>
  <c r="AK7" i="140" s="1"/>
  <c r="AK23" i="140"/>
  <c r="AK25" i="140"/>
  <c r="AK24" i="140"/>
  <c r="X39" i="107"/>
  <c r="X42" i="107" s="1"/>
  <c r="AF19" i="140"/>
  <c r="AF9" i="140" s="1"/>
  <c r="AF10" i="140" s="1"/>
  <c r="Y35" i="107" s="1"/>
  <c r="AK33" i="140" l="1"/>
  <c r="AL29" i="140" s="1"/>
  <c r="X40" i="107"/>
  <c r="X43" i="107" s="1"/>
  <c r="X44" i="107" s="1"/>
  <c r="AK26" i="140"/>
  <c r="AK6" i="140" s="1"/>
  <c r="AK27" i="140"/>
  <c r="AI37" i="140"/>
  <c r="AI35" i="140"/>
  <c r="AI36" i="140"/>
  <c r="AF20" i="140"/>
  <c r="AG16" i="140" s="1"/>
  <c r="AG17" i="140" s="1"/>
  <c r="AG18" i="140" s="1"/>
  <c r="AG19" i="140" s="1"/>
  <c r="AG9" i="140" s="1"/>
  <c r="AG10" i="140" s="1"/>
  <c r="Z35" i="107" s="1"/>
  <c r="Y36" i="107"/>
  <c r="Y37" i="107"/>
  <c r="AL31" i="140" l="1"/>
  <c r="AL33" i="140" s="1"/>
  <c r="AM32" i="140" s="1"/>
  <c r="AM7" i="140" s="1"/>
  <c r="AL32" i="140"/>
  <c r="AL7" i="140" s="1"/>
  <c r="AL30" i="140"/>
  <c r="AL24" i="140"/>
  <c r="AL25" i="140"/>
  <c r="AL23" i="140"/>
  <c r="X41" i="107"/>
  <c r="Y39" i="107"/>
  <c r="Y42" i="107" s="1"/>
  <c r="AI39" i="140"/>
  <c r="AJ36" i="140" s="1"/>
  <c r="AI38" i="140"/>
  <c r="AI8" i="140" s="1"/>
  <c r="AG20" i="140"/>
  <c r="AH16" i="140" s="1"/>
  <c r="AH17" i="140" s="1"/>
  <c r="AH18" i="140" s="1"/>
  <c r="Z36" i="107"/>
  <c r="Z37" i="107"/>
  <c r="AM30" i="140" l="1"/>
  <c r="AM29" i="140"/>
  <c r="AM31" i="140"/>
  <c r="Y40" i="107"/>
  <c r="Y43" i="107" s="1"/>
  <c r="Y44" i="107" s="1"/>
  <c r="AL27" i="140"/>
  <c r="AM23" i="140" s="1"/>
  <c r="AL26" i="140"/>
  <c r="AL6" i="140" s="1"/>
  <c r="AJ35" i="140"/>
  <c r="AJ37" i="140"/>
  <c r="AJ38" i="140" s="1"/>
  <c r="AJ8" i="140" s="1"/>
  <c r="Z39" i="107"/>
  <c r="Z42" i="107" s="1"/>
  <c r="AH19" i="140"/>
  <c r="AH9" i="140" s="1"/>
  <c r="AH10" i="140" s="1"/>
  <c r="AA35" i="107" s="1"/>
  <c r="AM33" i="140" l="1"/>
  <c r="AN29" i="140" s="1"/>
  <c r="Z40" i="107"/>
  <c r="Z43" i="107" s="1"/>
  <c r="Z44" i="107" s="1"/>
  <c r="AM25" i="140"/>
  <c r="AM27" i="140" s="1"/>
  <c r="AM24" i="140"/>
  <c r="AJ39" i="140"/>
  <c r="AK35" i="140" s="1"/>
  <c r="Y41" i="107"/>
  <c r="AH20" i="140"/>
  <c r="AI16" i="140" s="1"/>
  <c r="AI17" i="140" s="1"/>
  <c r="AI18" i="140" s="1"/>
  <c r="AA36" i="107"/>
  <c r="AA37" i="107"/>
  <c r="AN30" i="140" l="1"/>
  <c r="AN32" i="140"/>
  <c r="AN7" i="140" s="1"/>
  <c r="AN31" i="140"/>
  <c r="AN33" i="140" s="1"/>
  <c r="AO30" i="140" s="1"/>
  <c r="AM26" i="140"/>
  <c r="AM6" i="140" s="1"/>
  <c r="AK36" i="140"/>
  <c r="AK37" i="140"/>
  <c r="AN25" i="140"/>
  <c r="AN23" i="140"/>
  <c r="AN24" i="140"/>
  <c r="Z41" i="107"/>
  <c r="AI19" i="140"/>
  <c r="AI9" i="140" s="1"/>
  <c r="AI10" i="140" s="1"/>
  <c r="AB35" i="107" s="1"/>
  <c r="AA39" i="107"/>
  <c r="AA40" i="107" s="1"/>
  <c r="AO31" i="140" l="1"/>
  <c r="AO32" i="140"/>
  <c r="AO7" i="140" s="1"/>
  <c r="AO29" i="140"/>
  <c r="AN26" i="140"/>
  <c r="AN6" i="140" s="1"/>
  <c r="AK38" i="140"/>
  <c r="AK8" i="140" s="1"/>
  <c r="AN27" i="140"/>
  <c r="AK39" i="140"/>
  <c r="AL36" i="140" s="1"/>
  <c r="AA43" i="107"/>
  <c r="AA44" i="107" s="1"/>
  <c r="AI20" i="140"/>
  <c r="AJ16" i="140" s="1"/>
  <c r="AJ17" i="140" s="1"/>
  <c r="AJ18" i="140" s="1"/>
  <c r="AB36" i="107"/>
  <c r="AB37" i="107"/>
  <c r="AB40" i="107" s="1"/>
  <c r="AA41" i="107"/>
  <c r="AA42" i="107"/>
  <c r="AB42" i="107" s="1"/>
  <c r="B42" i="107" s="1"/>
  <c r="F31" i="141" s="1"/>
  <c r="B39" i="107"/>
  <c r="AO33" i="140" l="1"/>
  <c r="AP32" i="140" s="1"/>
  <c r="AP7" i="140" s="1"/>
  <c r="AL35" i="140"/>
  <c r="AL37" i="140"/>
  <c r="AL38" i="140" s="1"/>
  <c r="AL8" i="140" s="1"/>
  <c r="AO23" i="140"/>
  <c r="AO24" i="140"/>
  <c r="AO25" i="140"/>
  <c r="AJ19" i="140"/>
  <c r="AJ9" i="140" s="1"/>
  <c r="AJ10" i="140" s="1"/>
  <c r="AC35" i="107" s="1"/>
  <c r="AB43" i="107"/>
  <c r="AP29" i="140" l="1"/>
  <c r="AP30" i="140"/>
  <c r="AP31" i="140"/>
  <c r="AL39" i="140"/>
  <c r="AM37" i="140" s="1"/>
  <c r="AO26" i="140"/>
  <c r="AO6" i="140" s="1"/>
  <c r="AO27" i="140"/>
  <c r="B43" i="107"/>
  <c r="A85" i="107" s="1"/>
  <c r="H3" i="123" s="1"/>
  <c r="AB44" i="107"/>
  <c r="AC37" i="107"/>
  <c r="AC40" i="107" s="1"/>
  <c r="AC36" i="107"/>
  <c r="AB41" i="107"/>
  <c r="AJ20" i="140"/>
  <c r="AK16" i="140" s="1"/>
  <c r="AP33" i="140" l="1"/>
  <c r="AQ31" i="140" s="1"/>
  <c r="AM36" i="140"/>
  <c r="AM38" i="140" s="1"/>
  <c r="AM8" i="140" s="1"/>
  <c r="AM35" i="140"/>
  <c r="AM39" i="140" s="1"/>
  <c r="AN37" i="140" s="1"/>
  <c r="AP23" i="140"/>
  <c r="AP25" i="140"/>
  <c r="AP24" i="140"/>
  <c r="AQ30" i="140"/>
  <c r="AQ29" i="140"/>
  <c r="AQ33" i="140" s="1"/>
  <c r="AR29" i="140" s="1"/>
  <c r="AQ32" i="140"/>
  <c r="AQ7" i="140" s="1"/>
  <c r="AK17" i="140"/>
  <c r="AK18" i="140" s="1"/>
  <c r="B51" i="107"/>
  <c r="A115" i="107" s="1"/>
  <c r="J3" i="123" s="1"/>
  <c r="AN36" i="140" l="1"/>
  <c r="AN38" i="140" s="1"/>
  <c r="AN8" i="140" s="1"/>
  <c r="AN35" i="140"/>
  <c r="AN39" i="140" s="1"/>
  <c r="AO35" i="140" s="1"/>
  <c r="AP26" i="140"/>
  <c r="AP6" i="140" s="1"/>
  <c r="AP27" i="140"/>
  <c r="AR32" i="140"/>
  <c r="AR7" i="140" s="1"/>
  <c r="AR31" i="140"/>
  <c r="AR33" i="140" s="1"/>
  <c r="AR30" i="140"/>
  <c r="AK19" i="140"/>
  <c r="AK9" i="140" s="1"/>
  <c r="AK10" i="140" s="1"/>
  <c r="AD35" i="107" s="1"/>
  <c r="AQ23" i="140" l="1"/>
  <c r="AQ24" i="140"/>
  <c r="AQ25" i="140"/>
  <c r="AO36" i="140"/>
  <c r="AO37" i="140"/>
  <c r="AO39" i="140" s="1"/>
  <c r="AS31" i="140"/>
  <c r="AS32" i="140"/>
  <c r="AS7" i="140" s="1"/>
  <c r="AS29" i="140"/>
  <c r="AS30" i="140"/>
  <c r="AK20" i="140"/>
  <c r="AL16" i="140" s="1"/>
  <c r="AL17" i="140" s="1"/>
  <c r="AD36" i="107"/>
  <c r="AD37" i="107"/>
  <c r="AD40" i="107" s="1"/>
  <c r="AQ26" i="140" l="1"/>
  <c r="AQ6" i="140" s="1"/>
  <c r="AQ27" i="140"/>
  <c r="AO38" i="140"/>
  <c r="AO8" i="140" s="1"/>
  <c r="AS33" i="140"/>
  <c r="AT32" i="140" s="1"/>
  <c r="AT7" i="140" s="1"/>
  <c r="AL18" i="140"/>
  <c r="AL19" i="140" s="1"/>
  <c r="AL9" i="140" s="1"/>
  <c r="AL10" i="140" s="1"/>
  <c r="AE35" i="107" s="1"/>
  <c r="AP37" i="140"/>
  <c r="AP36" i="140"/>
  <c r="AP35" i="140"/>
  <c r="AR24" i="140" l="1"/>
  <c r="AR23" i="140"/>
  <c r="AR25" i="140"/>
  <c r="AP39" i="140"/>
  <c r="AQ35" i="140" s="1"/>
  <c r="AP38" i="140"/>
  <c r="AP8" i="140" s="1"/>
  <c r="AT31" i="140"/>
  <c r="AT30" i="140"/>
  <c r="AT29" i="140"/>
  <c r="AL20" i="140"/>
  <c r="AM16" i="140" s="1"/>
  <c r="AM17" i="140" s="1"/>
  <c r="AM18" i="140" s="1"/>
  <c r="AE36" i="107"/>
  <c r="AE37" i="107"/>
  <c r="AE40" i="107" s="1"/>
  <c r="AR27" i="140" l="1"/>
  <c r="AS25" i="140" s="1"/>
  <c r="AR26" i="140"/>
  <c r="AR6" i="140" s="1"/>
  <c r="AQ36" i="140"/>
  <c r="AQ37" i="140"/>
  <c r="AT33" i="140"/>
  <c r="AU31" i="140" s="1"/>
  <c r="AM19" i="140"/>
  <c r="AM9" i="140" s="1"/>
  <c r="AM10" i="140" s="1"/>
  <c r="AF35" i="107" s="1"/>
  <c r="AS23" i="140" l="1"/>
  <c r="AS27" i="140" s="1"/>
  <c r="AT23" i="140" s="1"/>
  <c r="AS24" i="140"/>
  <c r="AS26" i="140" s="1"/>
  <c r="AS6" i="140" s="1"/>
  <c r="AQ38" i="140"/>
  <c r="AQ8" i="140" s="1"/>
  <c r="AQ39" i="140"/>
  <c r="AR37" i="140" s="1"/>
  <c r="AU32" i="140"/>
  <c r="AU7" i="140" s="1"/>
  <c r="AU30" i="140"/>
  <c r="AU29" i="140"/>
  <c r="AU33" i="140" s="1"/>
  <c r="AM20" i="140"/>
  <c r="AN16" i="140" s="1"/>
  <c r="AN17" i="140" s="1"/>
  <c r="AN18" i="140" s="1"/>
  <c r="AF36" i="107"/>
  <c r="AF37" i="107"/>
  <c r="AF40" i="107" s="1"/>
  <c r="AT24" i="140" l="1"/>
  <c r="AT25" i="140"/>
  <c r="AT27" i="140" s="1"/>
  <c r="AU25" i="140" s="1"/>
  <c r="AR35" i="140"/>
  <c r="AR39" i="140" s="1"/>
  <c r="AS35" i="140" s="1"/>
  <c r="AR36" i="140"/>
  <c r="AR38" i="140" s="1"/>
  <c r="AR8" i="140" s="1"/>
  <c r="AV29" i="140"/>
  <c r="AV32" i="140"/>
  <c r="AV7" i="140" s="1"/>
  <c r="AV31" i="140"/>
  <c r="AV30" i="140"/>
  <c r="AN19" i="140"/>
  <c r="AN9" i="140" s="1"/>
  <c r="AN10" i="140" s="1"/>
  <c r="AG35" i="107" s="1"/>
  <c r="AT26" i="140" l="1"/>
  <c r="AT6" i="140" s="1"/>
  <c r="AU23" i="140"/>
  <c r="AU27" i="140" s="1"/>
  <c r="AV24" i="140" s="1"/>
  <c r="AU24" i="140"/>
  <c r="AU26" i="140" s="1"/>
  <c r="AU6" i="140" s="1"/>
  <c r="AS36" i="140"/>
  <c r="AS37" i="140"/>
  <c r="AS39" i="140" s="1"/>
  <c r="AV33" i="140"/>
  <c r="AG36" i="107"/>
  <c r="AG37" i="107"/>
  <c r="AG40" i="107" s="1"/>
  <c r="AN20" i="140"/>
  <c r="AO16" i="140" s="1"/>
  <c r="AO17" i="140" s="1"/>
  <c r="AO18" i="140" s="1"/>
  <c r="AV23" i="140" l="1"/>
  <c r="AV25" i="140"/>
  <c r="AS38" i="140"/>
  <c r="AS8" i="140" s="1"/>
  <c r="AW29" i="140"/>
  <c r="AW31" i="140"/>
  <c r="AW30" i="140"/>
  <c r="AW32" i="140"/>
  <c r="AW7" i="140" s="1"/>
  <c r="AT35" i="140"/>
  <c r="AT37" i="140"/>
  <c r="AT36" i="140"/>
  <c r="AO19" i="140"/>
  <c r="AO9" i="140" s="1"/>
  <c r="AO10" i="140" s="1"/>
  <c r="AH35" i="107" s="1"/>
  <c r="AV27" i="140" l="1"/>
  <c r="AW25" i="140" s="1"/>
  <c r="AV26" i="140"/>
  <c r="AV6" i="140" s="1"/>
  <c r="AT38" i="140"/>
  <c r="AT8" i="140" s="1"/>
  <c r="AW33" i="140"/>
  <c r="AT39" i="140"/>
  <c r="AO20" i="140"/>
  <c r="AP16" i="140" s="1"/>
  <c r="AP17" i="140" s="1"/>
  <c r="AP18" i="140" s="1"/>
  <c r="AP19" i="140" s="1"/>
  <c r="AP9" i="140" s="1"/>
  <c r="AP10" i="140" s="1"/>
  <c r="AI35" i="107" s="1"/>
  <c r="AH36" i="107"/>
  <c r="AH37" i="107"/>
  <c r="AH40" i="107" s="1"/>
  <c r="AW23" i="140" l="1"/>
  <c r="AW27" i="140" s="1"/>
  <c r="AX24" i="140" s="1"/>
  <c r="AW24" i="140"/>
  <c r="AW26" i="140" s="1"/>
  <c r="AW6" i="140" s="1"/>
  <c r="AX31" i="140"/>
  <c r="AX30" i="140"/>
  <c r="AX29" i="140"/>
  <c r="AX32" i="140"/>
  <c r="AX7" i="140" s="1"/>
  <c r="AU37" i="140"/>
  <c r="AU35" i="140"/>
  <c r="AU36" i="140"/>
  <c r="AP20" i="140"/>
  <c r="AQ16" i="140" s="1"/>
  <c r="AQ17" i="140" s="1"/>
  <c r="AQ18" i="140" s="1"/>
  <c r="AI36" i="107"/>
  <c r="AI37" i="107"/>
  <c r="AI40" i="107" s="1"/>
  <c r="AX25" i="140" l="1"/>
  <c r="AX26" i="140" s="1"/>
  <c r="AX6" i="140" s="1"/>
  <c r="AX23" i="140"/>
  <c r="AX33" i="140"/>
  <c r="AU38" i="140"/>
  <c r="AU8" i="140" s="1"/>
  <c r="AU39" i="140"/>
  <c r="AV35" i="140" s="1"/>
  <c r="AQ19" i="140"/>
  <c r="AQ9" i="140" s="1"/>
  <c r="AQ10" i="140" s="1"/>
  <c r="AJ35" i="107" s="1"/>
  <c r="AX27" i="140" l="1"/>
  <c r="AY23" i="140" s="1"/>
  <c r="AY32" i="140"/>
  <c r="AY7" i="140" s="1"/>
  <c r="AY29" i="140"/>
  <c r="AY31" i="140"/>
  <c r="AY30" i="140"/>
  <c r="AV36" i="140"/>
  <c r="AV37" i="140"/>
  <c r="AQ20" i="140"/>
  <c r="AR16" i="140" s="1"/>
  <c r="AR17" i="140" s="1"/>
  <c r="AR18" i="140" s="1"/>
  <c r="AJ36" i="107"/>
  <c r="AJ37" i="107"/>
  <c r="AJ40" i="107" s="1"/>
  <c r="AY25" i="140" l="1"/>
  <c r="AY27" i="140" s="1"/>
  <c r="AZ25" i="140" s="1"/>
  <c r="AY24" i="140"/>
  <c r="AV38" i="140"/>
  <c r="AV8" i="140" s="1"/>
  <c r="AY33" i="140"/>
  <c r="AZ30" i="140" s="1"/>
  <c r="AV39" i="140"/>
  <c r="AW36" i="140" s="1"/>
  <c r="AR19" i="140"/>
  <c r="AR9" i="140" s="1"/>
  <c r="AR10" i="140" s="1"/>
  <c r="AK35" i="107" s="1"/>
  <c r="AY26" i="140" l="1"/>
  <c r="AY6" i="140" s="1"/>
  <c r="AZ23" i="140"/>
  <c r="AZ27" i="140" s="1"/>
  <c r="BA24" i="140" s="1"/>
  <c r="AZ24" i="140"/>
  <c r="AZ26" i="140" s="1"/>
  <c r="AZ6" i="140" s="1"/>
  <c r="AZ29" i="140"/>
  <c r="AW35" i="140"/>
  <c r="AW37" i="140"/>
  <c r="AW38" i="140" s="1"/>
  <c r="AW8" i="140" s="1"/>
  <c r="AZ32" i="140"/>
  <c r="AZ7" i="140" s="1"/>
  <c r="AZ31" i="140"/>
  <c r="AR20" i="140"/>
  <c r="AS16" i="140" s="1"/>
  <c r="AS17" i="140" s="1"/>
  <c r="AS18" i="140" s="1"/>
  <c r="AS19" i="140" s="1"/>
  <c r="AS9" i="140" s="1"/>
  <c r="AS10" i="140" s="1"/>
  <c r="AL35" i="107" s="1"/>
  <c r="AK36" i="107"/>
  <c r="AK37" i="107"/>
  <c r="AK40" i="107" s="1"/>
  <c r="BA23" i="140" l="1"/>
  <c r="BA25" i="140"/>
  <c r="AZ33" i="140"/>
  <c r="BA30" i="140" s="1"/>
  <c r="AW39" i="140"/>
  <c r="AX36" i="140" s="1"/>
  <c r="AS20" i="140"/>
  <c r="AT16" i="140" s="1"/>
  <c r="AT17" i="140" s="1"/>
  <c r="AL36" i="107"/>
  <c r="AL37" i="107"/>
  <c r="AL40" i="107" s="1"/>
  <c r="BA27" i="140" l="1"/>
  <c r="BB23" i="140" s="1"/>
  <c r="BA26" i="140"/>
  <c r="BA6" i="140" s="1"/>
  <c r="AX37" i="140"/>
  <c r="AX38" i="140" s="1"/>
  <c r="AX8" i="140" s="1"/>
  <c r="AX35" i="140"/>
  <c r="BA31" i="140"/>
  <c r="BA29" i="140"/>
  <c r="BA32" i="140"/>
  <c r="BA7" i="140" s="1"/>
  <c r="AT18" i="140"/>
  <c r="AT19" i="140" s="1"/>
  <c r="AT9" i="140" s="1"/>
  <c r="AT10" i="140" s="1"/>
  <c r="AM35" i="107" s="1"/>
  <c r="BB25" i="140" l="1"/>
  <c r="BB27" i="140" s="1"/>
  <c r="BC24" i="140" s="1"/>
  <c r="BB24" i="140"/>
  <c r="AX39" i="140"/>
  <c r="AY37" i="140" s="1"/>
  <c r="BA33" i="140"/>
  <c r="BB30" i="140" s="1"/>
  <c r="AT20" i="140"/>
  <c r="AU16" i="140" s="1"/>
  <c r="AU17" i="140" s="1"/>
  <c r="AM36" i="107"/>
  <c r="AM37" i="107"/>
  <c r="AM40" i="107" s="1"/>
  <c r="BB26" i="140" l="1"/>
  <c r="BB6" i="140" s="1"/>
  <c r="BC23" i="140"/>
  <c r="BC25" i="140"/>
  <c r="BC26" i="140" s="1"/>
  <c r="BC6" i="140" s="1"/>
  <c r="AY35" i="140"/>
  <c r="AY39" i="140" s="1"/>
  <c r="AZ36" i="140" s="1"/>
  <c r="AY36" i="140"/>
  <c r="AY38" i="140" s="1"/>
  <c r="AY8" i="140" s="1"/>
  <c r="BB29" i="140"/>
  <c r="BB32" i="140"/>
  <c r="BB7" i="140" s="1"/>
  <c r="BB31" i="140"/>
  <c r="AU18" i="140"/>
  <c r="AU19" i="140" s="1"/>
  <c r="AU9" i="140" s="1"/>
  <c r="AU10" i="140" s="1"/>
  <c r="AN35" i="107" s="1"/>
  <c r="BC27" i="140" l="1"/>
  <c r="BD24" i="140" s="1"/>
  <c r="AZ37" i="140"/>
  <c r="AZ38" i="140" s="1"/>
  <c r="AZ8" i="140" s="1"/>
  <c r="AZ35" i="140"/>
  <c r="BB33" i="140"/>
  <c r="BC31" i="140" s="1"/>
  <c r="AU20" i="140"/>
  <c r="AV16" i="140" s="1"/>
  <c r="AV17" i="140" s="1"/>
  <c r="AV18" i="140" s="1"/>
  <c r="AN36" i="107"/>
  <c r="AN37" i="107"/>
  <c r="AN40" i="107" s="1"/>
  <c r="BD25" i="140" l="1"/>
  <c r="BD26" i="140" s="1"/>
  <c r="BD6" i="140" s="1"/>
  <c r="BD23" i="140"/>
  <c r="AZ39" i="140"/>
  <c r="BA37" i="140" s="1"/>
  <c r="BC32" i="140"/>
  <c r="BC7" i="140" s="1"/>
  <c r="BC29" i="140"/>
  <c r="BC33" i="140" s="1"/>
  <c r="BD29" i="140" s="1"/>
  <c r="BC30" i="140"/>
  <c r="AV19" i="140"/>
  <c r="AV9" i="140" s="1"/>
  <c r="AV10" i="140" s="1"/>
  <c r="AO35" i="107" s="1"/>
  <c r="BD27" i="140" l="1"/>
  <c r="BE25" i="140" s="1"/>
  <c r="BA35" i="140"/>
  <c r="BA39" i="140" s="1"/>
  <c r="BB36" i="140" s="1"/>
  <c r="BA36" i="140"/>
  <c r="BA38" i="140" s="1"/>
  <c r="BA8" i="140" s="1"/>
  <c r="BD32" i="140"/>
  <c r="BD7" i="140" s="1"/>
  <c r="BD30" i="140"/>
  <c r="BD31" i="140"/>
  <c r="BD33" i="140" s="1"/>
  <c r="BE32" i="140" s="1"/>
  <c r="BE7" i="140" s="1"/>
  <c r="AV20" i="140"/>
  <c r="AW16" i="140" s="1"/>
  <c r="AW17" i="140" s="1"/>
  <c r="AW18" i="140" s="1"/>
  <c r="AO36" i="107"/>
  <c r="AO37" i="107"/>
  <c r="AO40" i="107" s="1"/>
  <c r="BE23" i="140" l="1"/>
  <c r="BE27" i="140" s="1"/>
  <c r="BE24" i="140"/>
  <c r="BE26" i="140" s="1"/>
  <c r="BE6" i="140" s="1"/>
  <c r="BB35" i="140"/>
  <c r="BB37" i="140"/>
  <c r="BB38" i="140" s="1"/>
  <c r="BB8" i="140" s="1"/>
  <c r="BE30" i="140"/>
  <c r="BE29" i="140"/>
  <c r="BE31" i="140"/>
  <c r="AW19" i="140"/>
  <c r="AW9" i="140" s="1"/>
  <c r="AW10" i="140" s="1"/>
  <c r="AP35" i="107" s="1"/>
  <c r="BB39" i="140" l="1"/>
  <c r="BC36" i="140" s="1"/>
  <c r="BE33" i="140"/>
  <c r="BF32" i="140" s="1"/>
  <c r="BF7" i="140" s="1"/>
  <c r="BF25" i="140"/>
  <c r="BF23" i="140"/>
  <c r="BF24" i="140"/>
  <c r="AW20" i="140"/>
  <c r="AX16" i="140" s="1"/>
  <c r="AX17" i="140" s="1"/>
  <c r="AX18" i="140" s="1"/>
  <c r="AP36" i="107"/>
  <c r="AP37" i="107"/>
  <c r="AP40" i="107" s="1"/>
  <c r="BC37" i="140" l="1"/>
  <c r="BC38" i="140" s="1"/>
  <c r="BC8" i="140" s="1"/>
  <c r="BF30" i="140"/>
  <c r="BC35" i="140"/>
  <c r="BF29" i="140"/>
  <c r="BF31" i="140"/>
  <c r="BF26" i="140"/>
  <c r="BF6" i="140" s="1"/>
  <c r="BF27" i="140"/>
  <c r="BG25" i="140" s="1"/>
  <c r="AX19" i="140"/>
  <c r="AX9" i="140" s="1"/>
  <c r="AX10" i="140" s="1"/>
  <c r="AQ35" i="107" s="1"/>
  <c r="BC39" i="140" l="1"/>
  <c r="BD35" i="140" s="1"/>
  <c r="BF33" i="140"/>
  <c r="BG29" i="140" s="1"/>
  <c r="BG24" i="140"/>
  <c r="BG26" i="140" s="1"/>
  <c r="BG6" i="140" s="1"/>
  <c r="BG23" i="140"/>
  <c r="BG27" i="140" s="1"/>
  <c r="BH24" i="140" s="1"/>
  <c r="AX20" i="140"/>
  <c r="AY16" i="140" s="1"/>
  <c r="AY17" i="140" s="1"/>
  <c r="AY18" i="140" s="1"/>
  <c r="AQ36" i="107"/>
  <c r="AQ37" i="107"/>
  <c r="AQ40" i="107" s="1"/>
  <c r="BD37" i="140" l="1"/>
  <c r="BD39" i="140" s="1"/>
  <c r="BE37" i="140" s="1"/>
  <c r="BD36" i="140"/>
  <c r="BG30" i="140"/>
  <c r="BG31" i="140"/>
  <c r="BG33" i="140" s="1"/>
  <c r="BH29" i="140" s="1"/>
  <c r="BG32" i="140"/>
  <c r="BG7" i="140" s="1"/>
  <c r="BH23" i="140"/>
  <c r="BH25" i="140"/>
  <c r="BH26" i="140" s="1"/>
  <c r="BH6" i="140" s="1"/>
  <c r="BD38" i="140"/>
  <c r="BD8" i="140" s="1"/>
  <c r="AY19" i="140"/>
  <c r="AY9" i="140" s="1"/>
  <c r="AY10" i="140" s="1"/>
  <c r="AR35" i="107" s="1"/>
  <c r="BE36" i="140" l="1"/>
  <c r="BE38" i="140" s="1"/>
  <c r="BE8" i="140" s="1"/>
  <c r="BE35" i="140"/>
  <c r="BE39" i="140" s="1"/>
  <c r="BF36" i="140" s="1"/>
  <c r="BH30" i="140"/>
  <c r="BH32" i="140"/>
  <c r="BH7" i="140" s="1"/>
  <c r="BH31" i="140"/>
  <c r="BH33" i="140" s="1"/>
  <c r="BH27" i="140"/>
  <c r="BF37" i="140"/>
  <c r="BF35" i="140"/>
  <c r="AR36" i="107"/>
  <c r="AR37" i="107"/>
  <c r="AR40" i="107" s="1"/>
  <c r="AY20" i="140"/>
  <c r="AZ16" i="140" s="1"/>
  <c r="BF38" i="140" l="1"/>
  <c r="BF8" i="140" s="1"/>
  <c r="BF39" i="140"/>
  <c r="BG35" i="140" s="1"/>
  <c r="AZ17" i="140"/>
  <c r="AZ18" i="140" s="1"/>
  <c r="BG37" i="140" l="1"/>
  <c r="BG39" i="140" s="1"/>
  <c r="BG36" i="140"/>
  <c r="AZ19" i="140"/>
  <c r="AZ9" i="140" s="1"/>
  <c r="AZ10" i="140" s="1"/>
  <c r="AS35" i="107" s="1"/>
  <c r="BG38" i="140" l="1"/>
  <c r="BG8" i="140" s="1"/>
  <c r="BH35" i="140"/>
  <c r="BH37" i="140"/>
  <c r="BH36" i="140"/>
  <c r="AZ20" i="140"/>
  <c r="BA16" i="140" s="1"/>
  <c r="BA17" i="140" s="1"/>
  <c r="BA18" i="140" s="1"/>
  <c r="AS36" i="107"/>
  <c r="AS37" i="107"/>
  <c r="AS40" i="107" s="1"/>
  <c r="BH38" i="140" l="1"/>
  <c r="BH8" i="140" s="1"/>
  <c r="BH39" i="140"/>
  <c r="BA19" i="140"/>
  <c r="BA9" i="140" s="1"/>
  <c r="BA10" i="140" s="1"/>
  <c r="AT35" i="107" s="1"/>
  <c r="BA20" i="140" l="1"/>
  <c r="BB16" i="140" s="1"/>
  <c r="BB17" i="140" s="1"/>
  <c r="BB18" i="140" s="1"/>
  <c r="BB19" i="140" s="1"/>
  <c r="BB9" i="140" s="1"/>
  <c r="BB10" i="140" s="1"/>
  <c r="AU35" i="107" s="1"/>
  <c r="AT36" i="107"/>
  <c r="AT37" i="107"/>
  <c r="AT40" i="107" s="1"/>
  <c r="BB20" i="140" l="1"/>
  <c r="BC16" i="140" s="1"/>
  <c r="AU36" i="107"/>
  <c r="AU37" i="107"/>
  <c r="AU40" i="107" s="1"/>
  <c r="BC17" i="140" l="1"/>
  <c r="BC18" i="140" s="1"/>
  <c r="BC19" i="140" l="1"/>
  <c r="BC9" i="140" s="1"/>
  <c r="BC10" i="140" s="1"/>
  <c r="AV35" i="107" s="1"/>
  <c r="BC20" i="140" l="1"/>
  <c r="BD16" i="140" s="1"/>
  <c r="BD17" i="140" s="1"/>
  <c r="BD18" i="140" s="1"/>
  <c r="BD19" i="140" s="1"/>
  <c r="BD9" i="140" s="1"/>
  <c r="BD10" i="140" s="1"/>
  <c r="AW35" i="107" s="1"/>
  <c r="AV36" i="107"/>
  <c r="AV37" i="107"/>
  <c r="AV40" i="107" s="1"/>
  <c r="BD20" i="140" l="1"/>
  <c r="BE16" i="140" s="1"/>
  <c r="BE17" i="140" s="1"/>
  <c r="BE18" i="140" s="1"/>
  <c r="AW36" i="107"/>
  <c r="AW37" i="107"/>
  <c r="AW40" i="107" s="1"/>
  <c r="BE19" i="140" l="1"/>
  <c r="BE9" i="140" s="1"/>
  <c r="BE10" i="140" s="1"/>
  <c r="AX35" i="107" s="1"/>
  <c r="BE20" i="140" l="1"/>
  <c r="BF16" i="140" s="1"/>
  <c r="BF17" i="140" s="1"/>
  <c r="BF18" i="140" s="1"/>
  <c r="AX36" i="107"/>
  <c r="AX37" i="107"/>
  <c r="AX40" i="107" s="1"/>
  <c r="BF19" i="140" l="1"/>
  <c r="BF9" i="140" s="1"/>
  <c r="BF10" i="140" s="1"/>
  <c r="AY35" i="107" s="1"/>
  <c r="AY36" i="107" l="1"/>
  <c r="AY37" i="107"/>
  <c r="AY40" i="107" s="1"/>
  <c r="BF20" i="140"/>
  <c r="BG16" i="140" s="1"/>
  <c r="BG17" i="140" l="1"/>
  <c r="BG18" i="140" s="1"/>
  <c r="BG19" i="140" l="1"/>
  <c r="BG9" i="140" s="1"/>
  <c r="BG10" i="140" s="1"/>
  <c r="AZ35" i="107" s="1"/>
  <c r="BG20" i="140" l="1"/>
  <c r="BH16" i="140" s="1"/>
  <c r="BH17" i="140" s="1"/>
  <c r="BH18" i="140" s="1"/>
  <c r="AZ36" i="107"/>
  <c r="AZ37" i="107"/>
  <c r="AZ40" i="107" s="1"/>
  <c r="BH19" i="140" l="1"/>
  <c r="BH9" i="140" s="1"/>
  <c r="BH10" i="140" s="1"/>
  <c r="BA35" i="107" s="1"/>
  <c r="BH20" i="140" l="1"/>
  <c r="BA37" i="107"/>
  <c r="BA36" i="107"/>
  <c r="B35" i="107"/>
  <c r="BA40" i="107" l="1"/>
  <c r="B40" i="107" s="1"/>
  <c r="B48" i="107"/>
  <c r="A192" i="107" s="1"/>
  <c r="B44" i="10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tc={88E3DDC8-ADAF-4750-AB3E-AD069D45165A}</author>
  </authors>
  <commentList>
    <comment ref="E30" authorId="0" shapeId="0" xr:uid="{88E3DDC8-ADAF-4750-AB3E-AD069D45165A}">
      <text>
        <t>[Threaded comment]
Your version of Excel allows you to read this threaded comment; however, any edits to it will get removed if the file is opened in a newer version of Excel. Learn more: https://go.microsoft.com/fwlink/?linkid=870924
Comment:
    assume 5 acres per MW plus 10%</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tc={A21AA0E2-EDB2-4475-B576-61BF5B03169D}</author>
    <author>tc={02BB6048-17C9-4A02-9851-4A4EB56B4BE6}</author>
  </authors>
  <commentList>
    <comment ref="B8" authorId="0" shapeId="0" xr:uid="{A21AA0E2-EDB2-4475-B576-61BF5B03169D}">
      <text>
        <t>[Threaded comment]
Your version of Excel allows you to read this threaded comment; however, any edits to it will get removed if the file is opened in a newer version of Excel. Learn more: https://go.microsoft.com/fwlink/?linkid=870924
Comment:
    this should be an estimate of the long term average for a PPA, discuounting any peaks or troughs in the short term market</t>
      </text>
    </comment>
    <comment ref="B9" authorId="1" shapeId="0" xr:uid="{02BB6048-17C9-4A02-9851-4A4EB56B4BE6}">
      <text>
        <t>[Threaded comment]
Your version of Excel allows you to read this threaded comment; however, any edits to it will get removed if the file is opened in a newer version of Excel. Learn more: https://go.microsoft.com/fwlink/?linkid=870924
Comment:
    this should be an estimate of the long term average for a PPA, discuounting any peaks or troughs in the short term market</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tc={10D597C6-95E3-43B2-AB9E-E16CFBA7723A}</author>
  </authors>
  <commentList>
    <comment ref="E2" authorId="0" shapeId="0" xr:uid="{10D597C6-95E3-43B2-AB9E-E16CFBA7723A}">
      <text>
        <t>[Threaded comment]
Your version of Excel allows you to read this threaded comment; however, any edits to it will get removed if the file is opened in a newer version of Excel. Learn more: https://go.microsoft.com/fwlink/?linkid=870924
Comment:
    at 30 degree tilt angle.</t>
      </text>
    </comment>
  </commentList>
</comments>
</file>

<file path=xl/sharedStrings.xml><?xml version="1.0" encoding="utf-8"?>
<sst xmlns="http://schemas.openxmlformats.org/spreadsheetml/2006/main" count="775" uniqueCount="489">
  <si>
    <t>Value</t>
  </si>
  <si>
    <t>Notes</t>
  </si>
  <si>
    <t xml:space="preserve">General Inflation included in model </t>
  </si>
  <si>
    <t>yes</t>
  </si>
  <si>
    <t>General Inflation figure</t>
  </si>
  <si>
    <t>%</t>
  </si>
  <si>
    <t>Model start date</t>
  </si>
  <si>
    <t>Model life</t>
  </si>
  <si>
    <t>years</t>
  </si>
  <si>
    <t>WACC</t>
  </si>
  <si>
    <t>PV panel degradation</t>
  </si>
  <si>
    <t>Corporation tax</t>
  </si>
  <si>
    <t>Business rates</t>
  </si>
  <si>
    <t>Depreciation per year</t>
  </si>
  <si>
    <t xml:space="preserve">Target shareholder interest payments </t>
  </si>
  <si>
    <t>Scenario in current cashflow model</t>
  </si>
  <si>
    <t>Input</t>
  </si>
  <si>
    <t>Baseline</t>
  </si>
  <si>
    <t>Total capacity (kWp)</t>
  </si>
  <si>
    <t>Main EPC contract</t>
  </si>
  <si>
    <t>Unit</t>
  </si>
  <si>
    <r>
      <t xml:space="preserve">Revenues </t>
    </r>
    <r>
      <rPr>
        <i/>
        <sz val="10"/>
        <rFont val="Segoe UI"/>
        <family val="2"/>
      </rPr>
      <t>(assumed unit charge, service charge &amp; embeded benefits combined)</t>
    </r>
  </si>
  <si>
    <t>p/kWh</t>
  </si>
  <si>
    <t>Future energy price indexing</t>
  </si>
  <si>
    <t>None</t>
  </si>
  <si>
    <t>Sensitivities</t>
  </si>
  <si>
    <t>% change in OPEX</t>
  </si>
  <si>
    <t>% change in annual yield</t>
  </si>
  <si>
    <t>Loan type</t>
  </si>
  <si>
    <t>Standard APR</t>
  </si>
  <si>
    <t>Community Shares</t>
  </si>
  <si>
    <t>SITE</t>
  </si>
  <si>
    <t>SENSITIVITY CASE</t>
  </si>
  <si>
    <t>Year</t>
  </si>
  <si>
    <t>Price inflation factor</t>
  </si>
  <si>
    <t>Discount Factor</t>
  </si>
  <si>
    <t>PV degradation factor</t>
  </si>
  <si>
    <t>REVENUES</t>
  </si>
  <si>
    <t>Electricity sales - direct (£)</t>
  </si>
  <si>
    <t>Electricity sales - grid export (£)</t>
  </si>
  <si>
    <t>FIXED &amp; VARIABLE COSTS</t>
  </si>
  <si>
    <t>O&amp;M</t>
  </si>
  <si>
    <t>Site lease</t>
  </si>
  <si>
    <t>CASHFLOWS</t>
  </si>
  <si>
    <t>EBITDA</t>
  </si>
  <si>
    <t>Grant funding</t>
  </si>
  <si>
    <t>Cashflows before finance</t>
  </si>
  <si>
    <t>Debt drawings</t>
  </si>
  <si>
    <t>Debt services</t>
  </si>
  <si>
    <t>DSCR total</t>
  </si>
  <si>
    <t>Cashflow after finance</t>
  </si>
  <si>
    <t>Shareholder Equity</t>
  </si>
  <si>
    <t xml:space="preserve">Shareholder interest repayments </t>
  </si>
  <si>
    <t>Cumulative principle payment fund</t>
  </si>
  <si>
    <t>Project IRR</t>
  </si>
  <si>
    <t>Av. annual shareholder return</t>
  </si>
  <si>
    <t>Power prices incl indexing and inflation</t>
  </si>
  <si>
    <t>Energy price index on year 0 price</t>
  </si>
  <si>
    <t>Private wire price</t>
  </si>
  <si>
    <t>£/MWh</t>
  </si>
  <si>
    <t>Grid spill (SEG) price</t>
  </si>
  <si>
    <t>IRR for undiscounted cashflow</t>
  </si>
  <si>
    <t>Asset management fee</t>
  </si>
  <si>
    <t>Bank management fee</t>
  </si>
  <si>
    <t>n/a</t>
  </si>
  <si>
    <t>Accounting and bookkeeping</t>
  </si>
  <si>
    <t>Other professional fees</t>
  </si>
  <si>
    <t>Metering and import</t>
  </si>
  <si>
    <t>Grid charges</t>
  </si>
  <si>
    <t>Insurance</t>
  </si>
  <si>
    <t>Service and maintenance agreement</t>
  </si>
  <si>
    <t>Contract with installer for annual O&amp;M works</t>
  </si>
  <si>
    <t>Inverter warranty</t>
  </si>
  <si>
    <t xml:space="preserve">Cluster </t>
  </si>
  <si>
    <t>Sesitivity</t>
  </si>
  <si>
    <t>CURRENT SCENARIO IN CASH FLOW MODEL</t>
  </si>
  <si>
    <t>ALL SCENARIOS</t>
  </si>
  <si>
    <r>
      <t xml:space="preserve">N.B  - F9 TO UPDATE OF MODEL RESULTS, </t>
    </r>
    <r>
      <rPr>
        <u/>
        <sz val="16"/>
        <color rgb="FFFF0000"/>
        <rFont val="Calibri Light"/>
        <family val="2"/>
        <scheme val="major"/>
      </rPr>
      <t>NOT</t>
    </r>
    <r>
      <rPr>
        <sz val="16"/>
        <color rgb="FFFF0000"/>
        <rFont val="Calibri Light"/>
        <family val="2"/>
        <scheme val="major"/>
      </rPr>
      <t xml:space="preserve"> AUTOMATIC</t>
    </r>
  </si>
  <si>
    <t>Standard New Loan Rates</t>
  </si>
  <si>
    <t>Loan Term</t>
  </si>
  <si>
    <t>Period (years)</t>
  </si>
  <si>
    <t>1 year</t>
  </si>
  <si>
    <t>PWLB EIP</t>
  </si>
  <si>
    <t>Over 1 not over 1½</t>
  </si>
  <si>
    <t>PWLB Annuity</t>
  </si>
  <si>
    <t>Over 1½ not over 2</t>
  </si>
  <si>
    <t>PWLB Maturity</t>
  </si>
  <si>
    <t>Over 2 not over 2½</t>
  </si>
  <si>
    <t>Over 2½ not over 3</t>
  </si>
  <si>
    <t>Over 3 not over 3½</t>
  </si>
  <si>
    <t>In model</t>
  </si>
  <si>
    <t>Over 3½ not over 4</t>
  </si>
  <si>
    <t>Over 4 not over 4½</t>
  </si>
  <si>
    <t>Over 4½ not over 5</t>
  </si>
  <si>
    <t>Over 5 not over 5½</t>
  </si>
  <si>
    <t>Over 5½ not over 6</t>
  </si>
  <si>
    <t>Over 6 not over 6½</t>
  </si>
  <si>
    <t>Over 6½ not over 7</t>
  </si>
  <si>
    <t>Over 7 not over 7½</t>
  </si>
  <si>
    <t>Over 7½ not over 8</t>
  </si>
  <si>
    <t>Over 8 not over 8½</t>
  </si>
  <si>
    <t>Over 8½ not over 9</t>
  </si>
  <si>
    <t>Over 9 not over 9½</t>
  </si>
  <si>
    <t>Over 9½ not over 10</t>
  </si>
  <si>
    <t>Over 10 not over 10½</t>
  </si>
  <si>
    <t>Over 10½ not over 11</t>
  </si>
  <si>
    <t>Over 11 not over 11½</t>
  </si>
  <si>
    <t>Over 11½ not over 12</t>
  </si>
  <si>
    <t>Over 12 not over 12½</t>
  </si>
  <si>
    <t>Over 12½ not over 13</t>
  </si>
  <si>
    <t>Over 13 not over 13½</t>
  </si>
  <si>
    <t>Over 13½ not over 14</t>
  </si>
  <si>
    <t>Over 14 not over 14½</t>
  </si>
  <si>
    <t>Over 14½ not over 15</t>
  </si>
  <si>
    <t>Over 15 not over 15½</t>
  </si>
  <si>
    <t>Over 15½ not over 16</t>
  </si>
  <si>
    <t>Over 16 not over 16½</t>
  </si>
  <si>
    <t>Over 16½ not over 17</t>
  </si>
  <si>
    <t>Over 17 not over 17½</t>
  </si>
  <si>
    <t>Over 17½ not over 18</t>
  </si>
  <si>
    <t>Over 18 not over 18½</t>
  </si>
  <si>
    <t>Over 18½ not over 19</t>
  </si>
  <si>
    <t>Over 19 not over 19½</t>
  </si>
  <si>
    <t>Over 19½ not over 20</t>
  </si>
  <si>
    <t>Over 20 not over 20½</t>
  </si>
  <si>
    <t>Over 20½ not over 21</t>
  </si>
  <si>
    <t>Over 21 not over 21½</t>
  </si>
  <si>
    <t>Over 21½ not over 22</t>
  </si>
  <si>
    <t>Over 22 not over 22½</t>
  </si>
  <si>
    <t>Over 22½ not over 23</t>
  </si>
  <si>
    <t>Over 23 not over 23½</t>
  </si>
  <si>
    <t>Over 23½ not over 24</t>
  </si>
  <si>
    <t>Over 24 not over 24½</t>
  </si>
  <si>
    <t>Over 24½ not over 25</t>
  </si>
  <si>
    <t>Over 25 not over 25½</t>
  </si>
  <si>
    <t>Over 25½ not over 26</t>
  </si>
  <si>
    <t>Over 26 not over 26½</t>
  </si>
  <si>
    <t>Over 26½ not over 27</t>
  </si>
  <si>
    <t>Over 27 not over 27½</t>
  </si>
  <si>
    <t>Over 27½ not over 28</t>
  </si>
  <si>
    <t>Over 28 not over 28½</t>
  </si>
  <si>
    <t>Over 28½ not over 29</t>
  </si>
  <si>
    <t>Over 29 not over 29½</t>
  </si>
  <si>
    <t>Over 29½ not over 30</t>
  </si>
  <si>
    <t>Over 30 not over 30½</t>
  </si>
  <si>
    <t>Over 30½ not over 31</t>
  </si>
  <si>
    <t>Over 31 not over 31½</t>
  </si>
  <si>
    <t>Over 31½ not over 32</t>
  </si>
  <si>
    <t>Over 32 not over 32½</t>
  </si>
  <si>
    <t>Over 32½ not over 33</t>
  </si>
  <si>
    <t>Over 33 not over 33½</t>
  </si>
  <si>
    <t>Over 33½ not over 34</t>
  </si>
  <si>
    <t>Over 34 not over 34½</t>
  </si>
  <si>
    <t>Over 34½ not over 35</t>
  </si>
  <si>
    <t>Over 35 not over 35½</t>
  </si>
  <si>
    <t>Over 35½ not over 36</t>
  </si>
  <si>
    <t>Over 36 not over 36½</t>
  </si>
  <si>
    <t>Over 36½ not over 37</t>
  </si>
  <si>
    <t>Over 37 not over 37½</t>
  </si>
  <si>
    <t>Over 37½ not over 38</t>
  </si>
  <si>
    <t>Over 38 not over 38½</t>
  </si>
  <si>
    <t>Over 38½ not over 39</t>
  </si>
  <si>
    <t>Over 39 not over 39½</t>
  </si>
  <si>
    <t>Over 39½ not over 40</t>
  </si>
  <si>
    <t>Over 40 not over 40½</t>
  </si>
  <si>
    <t>Over 40½ not over 41</t>
  </si>
  <si>
    <t>Over 41 not over 41½</t>
  </si>
  <si>
    <t>Over 41½ not over 42</t>
  </si>
  <si>
    <t>Over 42 not over 42½</t>
  </si>
  <si>
    <t>Over 42½ not over 43</t>
  </si>
  <si>
    <t>Over 43 not over 43½</t>
  </si>
  <si>
    <t>Over 43½ not over 44</t>
  </si>
  <si>
    <t>Over 44 not over 44½</t>
  </si>
  <si>
    <t>Over 44½ not over 45</t>
  </si>
  <si>
    <t>Over 45 not over 45½</t>
  </si>
  <si>
    <t>Over 45½ not over 46</t>
  </si>
  <si>
    <t>Over 46 not over 46½</t>
  </si>
  <si>
    <t>Over 46½ not over 47</t>
  </si>
  <si>
    <t>Over 47 not over 47½</t>
  </si>
  <si>
    <t>Over 47½ not over 48</t>
  </si>
  <si>
    <t>Over 48 not over 48½</t>
  </si>
  <si>
    <t>Over 48½ not over 49</t>
  </si>
  <si>
    <t>Over 49 not over 49½</t>
  </si>
  <si>
    <t>Over 49½ not over 50</t>
  </si>
  <si>
    <t>Loan term (years)</t>
  </si>
  <si>
    <t>Debt at start of year</t>
  </si>
  <si>
    <t>Interest capitalised</t>
  </si>
  <si>
    <t>Amount to repay</t>
  </si>
  <si>
    <t>Repayment</t>
  </si>
  <si>
    <t>Debt at end of year</t>
  </si>
  <si>
    <t>Opening balance (£)</t>
  </si>
  <si>
    <t>Interest (£)</t>
  </si>
  <si>
    <t>Principal (£)</t>
  </si>
  <si>
    <t>Instalment (£)</t>
  </si>
  <si>
    <t>Closing balance (£)</t>
  </si>
  <si>
    <t>2019 Real prices</t>
  </si>
  <si>
    <t>Sector</t>
  </si>
  <si>
    <r>
      <t>units</t>
    </r>
    <r>
      <rPr>
        <b/>
        <vertAlign val="superscript"/>
        <sz val="11"/>
        <color rgb="FF000000"/>
        <rFont val="Arial"/>
        <family val="2"/>
      </rPr>
      <t>6</t>
    </r>
  </si>
  <si>
    <t>Ref scenario</t>
  </si>
  <si>
    <t>Services</t>
  </si>
  <si>
    <t>Low prices</t>
  </si>
  <si>
    <r>
      <t>Services</t>
    </r>
    <r>
      <rPr>
        <vertAlign val="superscript"/>
        <sz val="10"/>
        <color rgb="FF000000"/>
        <rFont val="Arial"/>
        <family val="2"/>
      </rPr>
      <t>7</t>
    </r>
  </si>
  <si>
    <t>High prices</t>
  </si>
  <si>
    <t>Low growth</t>
  </si>
  <si>
    <t>High growth</t>
  </si>
  <si>
    <t xml:space="preserve">Existing policies </t>
  </si>
  <si>
    <t>2020 inflation adjusted Real prices</t>
  </si>
  <si>
    <t>Index factors</t>
  </si>
  <si>
    <t xml:space="preserve">Index in model: </t>
  </si>
  <si>
    <t>Inverter 20 yr warranty</t>
  </si>
  <si>
    <t>% generation loss due to maintenance or curtailment</t>
  </si>
  <si>
    <t xml:space="preserve">Contingency </t>
  </si>
  <si>
    <t>Annual shareholder dividends</t>
  </si>
  <si>
    <t>Annual com. benefit fund (£)</t>
  </si>
  <si>
    <t>Community benefit fund</t>
  </si>
  <si>
    <t>Comment</t>
  </si>
  <si>
    <t>Planning permission</t>
  </si>
  <si>
    <t>Key</t>
  </si>
  <si>
    <t xml:space="preserve">Annual shareholder return </t>
  </si>
  <si>
    <t>Shareholder loan repayment period</t>
  </si>
  <si>
    <t>Capital costs to be financed through senior loan (£)</t>
  </si>
  <si>
    <t>Total  capital cost cost (£)</t>
  </si>
  <si>
    <t>Total to be financed (£)</t>
  </si>
  <si>
    <t>Prelims (procurement, legal, surveys, PM, consultants)</t>
  </si>
  <si>
    <t>Capital Grant (assume available in year 0)</t>
  </si>
  <si>
    <t>Capital costs to be financed through community share offer (£)</t>
  </si>
  <si>
    <t>Totals check</t>
  </si>
  <si>
    <t>Additional costs (£ - sesitivity testing scenario)</t>
  </si>
  <si>
    <t>Energy generation</t>
  </si>
  <si>
    <t>Electricity sales - direct (MWh)</t>
  </si>
  <si>
    <t>Electricity sales - PPA (MWh)</t>
  </si>
  <si>
    <t>Electricity sales - grid export (MWh)</t>
  </si>
  <si>
    <t>Generation capacity (kWp)</t>
  </si>
  <si>
    <t xml:space="preserve">Generation - Rooftop PV </t>
  </si>
  <si>
    <t>Generation - Ground Mounted PV</t>
  </si>
  <si>
    <t>Generation - Car Port PV</t>
  </si>
  <si>
    <t xml:space="preserve">Total Power Generation </t>
  </si>
  <si>
    <t>Output (MWh/year)</t>
  </si>
  <si>
    <t>Power used onsite (MWh/year)</t>
  </si>
  <si>
    <t>Power exported via PPA (MWh/year)</t>
  </si>
  <si>
    <t>Power spilt to grid (MWh/year)</t>
  </si>
  <si>
    <t>Electricity sales - PPA (£)</t>
  </si>
  <si>
    <t>PPA price</t>
  </si>
  <si>
    <t>Year 1 Private wire price</t>
  </si>
  <si>
    <t>Total enabling cost</t>
  </si>
  <si>
    <t>Project cost</t>
  </si>
  <si>
    <t>n/a, assumed done in house</t>
  </si>
  <si>
    <t>1-2k depending on complexity. Incl. bookkeeping, management accounts, VAT returns, stat accounts, covenant reporting, distribution recommendations, filing at companies house, etc</t>
  </si>
  <si>
    <t>2% allowance as a sinking fund for any future legal support</t>
  </si>
  <si>
    <t xml:space="preserve">Export meter contract assumption. </t>
  </si>
  <si>
    <t>MOP meter contract, import power (considered negligible for the scale of this project as 0MWh export limitation - will be lmore significant on other projects)</t>
  </si>
  <si>
    <t>Upfront warrany included in capex - front loading  is better value in this case</t>
  </si>
  <si>
    <t>Cost per year (£)</t>
  </si>
  <si>
    <t>Total after scenario testing</t>
  </si>
  <si>
    <t>Total before scenario testing</t>
  </si>
  <si>
    <r>
      <t xml:space="preserve"> (assumed all in </t>
    </r>
    <r>
      <rPr>
        <b/>
        <u/>
        <sz val="11"/>
        <color theme="1"/>
        <rFont val="Calibri"/>
        <family val="2"/>
        <scheme val="minor"/>
      </rPr>
      <t>year 0</t>
    </r>
    <r>
      <rPr>
        <b/>
        <sz val="11"/>
        <color theme="1"/>
        <rFont val="Calibri"/>
        <family val="2"/>
        <scheme val="minor"/>
      </rPr>
      <t>)</t>
    </r>
  </si>
  <si>
    <t>PROJECT COSTS</t>
  </si>
  <si>
    <t>Sense check (£/kW)</t>
  </si>
  <si>
    <t>POWER GENERATION</t>
  </si>
  <si>
    <t>HEAT GENERATION</t>
  </si>
  <si>
    <t>LAND RENTAL</t>
  </si>
  <si>
    <t>SCENARIO VARIABLES</t>
  </si>
  <si>
    <t>Insuring the panels against physical damage and £10m of Public Liability. EL &amp; business interruption cover (if community group and not overed elsewhere) would be additional ~£500</t>
  </si>
  <si>
    <t xml:space="preserve">Not included in this model. Available on request </t>
  </si>
  <si>
    <t>Blank site 2</t>
  </si>
  <si>
    <t>LOAN RATES</t>
  </si>
  <si>
    <t>Up to date rates can be checked at https://www.dmo.gov.uk/responsibilities/local-authority-lending/current-interest-rates/</t>
  </si>
  <si>
    <t>EIP Rate</t>
  </si>
  <si>
    <t>Annuity Rate</t>
  </si>
  <si>
    <t>Maturity Rate</t>
  </si>
  <si>
    <t>Standard New Loan Rates for given loan term</t>
  </si>
  <si>
    <t>from global assumptions tab</t>
  </si>
  <si>
    <t>Used in model</t>
  </si>
  <si>
    <t>Current modelled scenario</t>
  </si>
  <si>
    <t>Scenario</t>
  </si>
  <si>
    <t>KEY</t>
  </si>
  <si>
    <t>Site</t>
  </si>
  <si>
    <t>input differs from scenario 1 (autoformat)</t>
  </si>
  <si>
    <t>Year 1 power sales</t>
  </si>
  <si>
    <t>Discount rate</t>
  </si>
  <si>
    <t>Community shares</t>
  </si>
  <si>
    <t>Global assumptions</t>
  </si>
  <si>
    <t>Year of first dividend payment</t>
  </si>
  <si>
    <t>System assumptions</t>
  </si>
  <si>
    <t>Blank site 3</t>
  </si>
  <si>
    <t>Blank site 4</t>
  </si>
  <si>
    <t>10p/kWh, high capex</t>
  </si>
  <si>
    <t>12p/kWh, high capex</t>
  </si>
  <si>
    <t>500kW, 
£500/acre</t>
  </si>
  <si>
    <t>500kW, 
£1000/acre</t>
  </si>
  <si>
    <t>300kW, 
£500/acre</t>
  </si>
  <si>
    <t>300kW, 
£1000/acre</t>
  </si>
  <si>
    <t>300kW, 
£500/acre (no export)</t>
  </si>
  <si>
    <t>300kW, 
£1000/acre (no export)</t>
  </si>
  <si>
    <t>Allowance</t>
  </si>
  <si>
    <t>500kW, 
£500/acre (no grant)</t>
  </si>
  <si>
    <t>% change in project costs(excl. grid)</t>
  </si>
  <si>
    <t>% change in grid costs</t>
  </si>
  <si>
    <t>10p/kWh, mid capex, high grid</t>
  </si>
  <si>
    <t>10p/kWh, high capex, high grid</t>
  </si>
  <si>
    <t>12p/kWh, mid capex, high grid</t>
  </si>
  <si>
    <t>12p/kWh, high capex, high grid</t>
  </si>
  <si>
    <t>10p/kWh, favourable  capex</t>
  </si>
  <si>
    <t>12p/kWh, favourable  capex</t>
  </si>
  <si>
    <t xml:space="preserve">Yr1 leaseholder payments </t>
  </si>
  <si>
    <t>Lease payments</t>
  </si>
  <si>
    <t>shorthand for graphs</t>
  </si>
  <si>
    <t>500kW, low lease</t>
  </si>
  <si>
    <t>500kW, high lease</t>
  </si>
  <si>
    <t>300kW, low lease</t>
  </si>
  <si>
    <t>300kW, high lease</t>
  </si>
  <si>
    <t>300kW, low lease, no expot</t>
  </si>
  <si>
    <t>300kW, high lease, no export</t>
  </si>
  <si>
    <t>500kW, low lease, no grant</t>
  </si>
  <si>
    <t>10p, high£</t>
  </si>
  <si>
    <t>10p, low£</t>
  </si>
  <si>
    <t>12p, low£</t>
  </si>
  <si>
    <t>10p, mid£, grid+</t>
  </si>
  <si>
    <t>10p, high£, grid+</t>
  </si>
  <si>
    <t>12p, mid£, grid+</t>
  </si>
  <si>
    <t>12p, high£, grid+</t>
  </si>
  <si>
    <t>9p/kWh, favourable  capex</t>
  </si>
  <si>
    <t>9p, low£</t>
  </si>
  <si>
    <t>9p/kWh, high capex</t>
  </si>
  <si>
    <t>9p/kWh, mid capex, high grid</t>
  </si>
  <si>
    <t>9p, mid£, grid+</t>
  </si>
  <si>
    <t>9p/kWh, high capex, high grid</t>
  </si>
  <si>
    <t>9p, high£, grid+</t>
  </si>
  <si>
    <t>(IRR)</t>
  </si>
  <si>
    <t xml:space="preserve">Modelled on this basis, could be slightly higher IRL (and less linear in practice) </t>
  </si>
  <si>
    <t>Only used where specified in scenario modelling</t>
  </si>
  <si>
    <t>Additional costs (£ - sensitivity testing scenario)</t>
  </si>
  <si>
    <t>Addons (Welfare, bird mesh, etc)</t>
  </si>
  <si>
    <t>Understood 100% business rate exemption as Bencom</t>
  </si>
  <si>
    <t>Inverter replacement fund</t>
  </si>
  <si>
    <t>Decommissioning sinking fund</t>
  </si>
  <si>
    <t xml:space="preserve">The following data table uses Public Works Loan Board (PWLB) rates as published on the 14th May 2020 and may not be current at the time of using this model. </t>
  </si>
  <si>
    <t>Shareholders’ Loan</t>
  </si>
  <si>
    <t xml:space="preserve">n/a: covered by 20 year inverter warranty </t>
  </si>
  <si>
    <t xml:space="preserve">File Name: </t>
  </si>
  <si>
    <t>Project no.:</t>
  </si>
  <si>
    <t>Project name:</t>
  </si>
  <si>
    <t>Calculation title:</t>
  </si>
  <si>
    <t>Revisions and checking</t>
  </si>
  <si>
    <t>Revision</t>
  </si>
  <si>
    <t>Description</t>
  </si>
  <si>
    <t>Prepared by</t>
  </si>
  <si>
    <t>Date</t>
  </si>
  <si>
    <t>Checked by</t>
  </si>
  <si>
    <t>Check level</t>
  </si>
  <si>
    <t>01</t>
  </si>
  <si>
    <t>CG</t>
  </si>
  <si>
    <t>AL</t>
  </si>
  <si>
    <t>A</t>
  </si>
  <si>
    <t>Input cell</t>
  </si>
  <si>
    <t>SWEH project tools</t>
  </si>
  <si>
    <t>RPI/CPI blend assumption</t>
  </si>
  <si>
    <t>shorthand text for graphs</t>
  </si>
  <si>
    <r>
      <t xml:space="preserve">Grid  connection costs (£ - </t>
    </r>
    <r>
      <rPr>
        <sz val="11"/>
        <color theme="1"/>
        <rFont val="Calibri"/>
        <family val="2"/>
        <scheme val="minor"/>
      </rPr>
      <t>year 0</t>
    </r>
    <r>
      <rPr>
        <sz val="10"/>
        <color theme="1"/>
        <rFont val="Arial"/>
        <family val="2"/>
      </rPr>
      <t>)</t>
    </r>
  </si>
  <si>
    <t>Enablement Grant (assume available in year 0)</t>
  </si>
  <si>
    <t>Assummes communtiy group maintain FOC</t>
  </si>
  <si>
    <t>Zone</t>
  </si>
  <si>
    <t>Location</t>
  </si>
  <si>
    <t>Orientation</t>
  </si>
  <si>
    <t>kWh/kWp</t>
  </si>
  <si>
    <t>ID</t>
  </si>
  <si>
    <t>London</t>
  </si>
  <si>
    <t>South</t>
  </si>
  <si>
    <t>SE or SW</t>
  </si>
  <si>
    <t>E or W</t>
  </si>
  <si>
    <t>Brighton</t>
  </si>
  <si>
    <t>Southampton</t>
  </si>
  <si>
    <t>Plymouth</t>
  </si>
  <si>
    <t>5E</t>
  </si>
  <si>
    <t>Bristol</t>
  </si>
  <si>
    <t>5W</t>
  </si>
  <si>
    <t>Cardiff</t>
  </si>
  <si>
    <t>Birmingham</t>
  </si>
  <si>
    <t>7E</t>
  </si>
  <si>
    <t>Manchester</t>
  </si>
  <si>
    <t>7W</t>
  </si>
  <si>
    <t>Chester</t>
  </si>
  <si>
    <t>8S</t>
  </si>
  <si>
    <t>Dumfries</t>
  </si>
  <si>
    <t>8E</t>
  </si>
  <si>
    <t>Carlisle</t>
  </si>
  <si>
    <t>9E</t>
  </si>
  <si>
    <t>Newcastle</t>
  </si>
  <si>
    <t>9S</t>
  </si>
  <si>
    <t>Edinburgh</t>
  </si>
  <si>
    <t>Middlesborough</t>
  </si>
  <si>
    <t>Sheffield</t>
  </si>
  <si>
    <t>Norwich</t>
  </si>
  <si>
    <t>Aberystwith</t>
  </si>
  <si>
    <t>Glasgow</t>
  </si>
  <si>
    <t>Dundee</t>
  </si>
  <si>
    <t>Aberdeen</t>
  </si>
  <si>
    <t>Inverness</t>
  </si>
  <si>
    <t>Stornoway</t>
  </si>
  <si>
    <t>Kirkwall</t>
  </si>
  <si>
    <t>Lerwick</t>
  </si>
  <si>
    <t>Belfast</t>
  </si>
  <si>
    <t>Project location</t>
  </si>
  <si>
    <t>select location</t>
  </si>
  <si>
    <t>Nearest location (or overwrite irradiance data below)</t>
  </si>
  <si>
    <t xml:space="preserve">Panel irradiance </t>
  </si>
  <si>
    <t>Panel orientation</t>
  </si>
  <si>
    <t>Can be overwritted in energy generation tab where vaires by site</t>
  </si>
  <si>
    <t>Inclusive of ystem losses based on a 30 degree tilt angle (can be overwritten in energy generation tab)</t>
  </si>
  <si>
    <t>kWh/kW</t>
  </si>
  <si>
    <t>System efficiency (kWh/kW)</t>
  </si>
  <si>
    <t>Total output (MWh/year)</t>
  </si>
  <si>
    <t>Total output (MWh/year) [sensitivity testing scenario]</t>
  </si>
  <si>
    <t>Cashflow scenario</t>
  </si>
  <si>
    <t>Year 1 export PPA price</t>
  </si>
  <si>
    <t>Year 1 Grid spill price</t>
  </si>
  <si>
    <t>% change in amount of power sold onsite</t>
  </si>
  <si>
    <t xml:space="preserve">COSTS </t>
  </si>
  <si>
    <t>FINANCING - EQUITY</t>
  </si>
  <si>
    <t>FINANCING - DEBT</t>
  </si>
  <si>
    <t>Loan Type</t>
  </si>
  <si>
    <t>Senior loan debt</t>
  </si>
  <si>
    <t>Debt corkscrews</t>
  </si>
  <si>
    <t>REPAYMENT OPTIONS</t>
  </si>
  <si>
    <t>Loan check</t>
  </si>
  <si>
    <t>Free cashflow / community benefit fund</t>
  </si>
  <si>
    <t>Cumulative free cashflow / community benefit fund</t>
  </si>
  <si>
    <t>Other lease costs (roof or carpot schemes)</t>
  </si>
  <si>
    <t>Ground mount schemes: Leased area (acres)</t>
  </si>
  <si>
    <t>Ground mount schemes: Site lease (£/ acre/yr.)</t>
  </si>
  <si>
    <t>Ground mount schemes: lease cost (£/yr.)</t>
  </si>
  <si>
    <t>Total lease cost (£/yr.)</t>
  </si>
  <si>
    <t>MWh used onsite</t>
  </si>
  <si>
    <t>Power used on site</t>
  </si>
  <si>
    <t>Landlord Yr 1 fuel savings</t>
  </si>
  <si>
    <t>Scenario A</t>
  </si>
  <si>
    <t>Scenario B</t>
  </si>
  <si>
    <t>Annual revenue distribution (£)</t>
  </si>
  <si>
    <t xml:space="preserve">Delayed shareholder interest payments </t>
  </si>
  <si>
    <t>Simplified model assumes 100% BR exemption (i.e if VOA value is &lt;£18,000)</t>
  </si>
  <si>
    <t xml:space="preserve">Simplified model does not include P&amp;L accounting or taxation </t>
  </si>
  <si>
    <t>Financing</t>
  </si>
  <si>
    <t>Variable rate only excluding standing charges (PV supply will not offset standing charges)</t>
  </si>
  <si>
    <t>parent company pre tax costs</t>
  </si>
  <si>
    <t>% of EBITDA</t>
  </si>
  <si>
    <t>Excluded from simlified model</t>
  </si>
  <si>
    <t>Excluded from simlified model (zero for Bencom though would apply for CIC)</t>
  </si>
  <si>
    <t>Increase where initial cashflow boost is required (increasing beyond 3 or 4 years may be unpallatable for investors)</t>
  </si>
  <si>
    <t>Target shareholder interest payments are set in sceario variables tab</t>
  </si>
  <si>
    <t>Adjacent cell checks sufficient cashflow for target period --&gt;</t>
  </si>
  <si>
    <t>Each scenario can be applied to each site in the cash flow tab, and is summariesed for all sites in the model results tab</t>
  </si>
  <si>
    <t>Private wire customer - current unit rate</t>
  </si>
  <si>
    <t>Amount spilt to grid in excess of any PPA</t>
  </si>
  <si>
    <t xml:space="preserve">Grid supply after onsite and PPA use </t>
  </si>
  <si>
    <t>Amount of power that cannot be sold in any market</t>
  </si>
  <si>
    <t xml:space="preserve">% of generation split to grid </t>
  </si>
  <si>
    <t>% generation exported via PPA</t>
  </si>
  <si>
    <t xml:space="preserve">% generation used onsite </t>
  </si>
  <si>
    <t>% generation used onsite [after sensitivity]</t>
  </si>
  <si>
    <t>% generation curtailed</t>
  </si>
  <si>
    <t>Overview</t>
  </si>
  <si>
    <t>Scenarios</t>
  </si>
  <si>
    <t>Interpreting results</t>
  </si>
  <si>
    <t>Viewing the active scenario</t>
  </si>
  <si>
    <t>Troubleshooting slow worksheets</t>
  </si>
  <si>
    <t>This workbook uses data tables. Where left to run in the background these can affect performance on some machines. Follow these steps to improve calculation performance:
Click File &gt; Options &gt; Formulas.
In the Calculation options section, under Calculate, click Automatic except for data tables.
Tip: Optionally, on the Formulas tab, click the arrow on Calculation Options, then click Automatic Except Data Tables (in the Calculation group).
To manually recalculate model results, press F9 / FN+F9.</t>
  </si>
  <si>
    <t>Value carried through to cashflow model</t>
  </si>
  <si>
    <t>See assumptions tab. As a ROT, under £10/kW is considered for a system up to 50kW. For larger schemes ( up to 1MW and &gt;1MW), £8/kWp to £6/kWp may be possible.</t>
  </si>
  <si>
    <r>
      <t xml:space="preserve">Notes </t>
    </r>
    <r>
      <rPr>
        <sz val="10"/>
        <color theme="8" tint="-0.249977111117893"/>
        <rFont val="Arial"/>
        <family val="2"/>
      </rPr>
      <t>(these costs are dummy numbers and  will vary significantly based on scale)</t>
    </r>
  </si>
  <si>
    <t>CHANGE ACTIVE SCENARIO HERE*</t>
  </si>
  <si>
    <t>*does not affect model result tabs</t>
  </si>
  <si>
    <t>Auxiliary calcs &amp; data tables</t>
  </si>
  <si>
    <t>Yr. 1 lease payments</t>
  </si>
  <si>
    <t>Free cashflow / community benefit fund (£/yr.)</t>
  </si>
  <si>
    <t xml:space="preserve">This model is designed as a tool for the early stage sensitivity testing of revenue generation for renewable energy generation projects. It's focus is on generating a large number of scenarios (up to 120) simultaneously to allow for early stage scoping of options and an assessment of the relative risk of variables.
Alongside conventional outputs, the focus on results is on the  distribution of project revenues; this type of analysis can be especially useful for community projects where understanding of the fair distribution of revenues can more important than the IRR or NPV of a project.
The model has been pre populated with values relevant to a dummy project developed in 2019 and should be replaced with site specific values; costs will vary significantly by site, scale and date of construction. </t>
  </si>
  <si>
    <t xml:space="preserve">Up to 120 scenarios can be generated by changing inputs for up to 10 'sites' (or permutations of a single site) and 12 revenue sensitivities. Revenue sensitives include controls such as the export price of power or the change in annual yield. These sensitivities will fluctuate over a project life and so their impact on the model can be important to observe. </t>
  </si>
  <si>
    <t xml:space="preserve">The main results are an A3 printout of all scenarios showing annual revenue distribution for a typical year (example below). Other results are given in tabular format for onward analysis. </t>
  </si>
  <si>
    <t>Shareholder dividends</t>
  </si>
  <si>
    <t>Landlord fuel savings</t>
  </si>
  <si>
    <t>The details of a single scenario can be scrutinised in the cashflow tab. Selecting the scenario can be done at the top of the page - this does not impact the results tab which shows all outcomes simultaneously.</t>
  </si>
  <si>
    <t>Options appraisal of early stage renewable projects</t>
  </si>
  <si>
    <t>Only applicable for cummuntiy model where initial cashflow boost is required</t>
  </si>
  <si>
    <t>Local authority financing options are set in sceario variables tab</t>
  </si>
  <si>
    <t>Curtailed supply</t>
  </si>
  <si>
    <t>yr 1 power sales</t>
  </si>
  <si>
    <t>Project NPV</t>
  </si>
  <si>
    <t>Equity NPV (before sharelhodler payments)</t>
  </si>
  <si>
    <r>
      <t xml:space="preserve">This model has been prepared and is issued by the South West Energy Hub to support early stage revenue modelling for community energy groups, or those looking to fund projects using comminity finace. It should not be used for commercial gain or as the basis financial decision making. The model has been provided unlocked to assist further use - please contact swenergyhub@westofengland-ca.gov.uk if you require assistance using the model.
Reliance on any information provided by the Energy Hub and its host West of England Combined Authority shall be taken entirely at the users own risk. 
</t>
    </r>
    <r>
      <rPr>
        <sz val="11"/>
        <color rgb="FFFF0000"/>
        <rFont val="Trebuchet MS"/>
        <family val="2"/>
      </rPr>
      <t xml:space="preserve">
**UPDATE: costs provided are dummy values for 2019 and will not fully reflect increases since the Covid-19 pandemic. Site specific quotes should be used wherever possible**</t>
    </r>
  </si>
  <si>
    <t xml:space="preserve">Energy Cashflow model - scenario testing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</si>
</sst>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4">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00_);_(* \(#,##0.00\);_(* &quot;-&quot;??_);_(@_)"/>
    <numFmt numFmtId="165" formatCode="0.0"/>
    <numFmt numFmtId="166" formatCode="_-* #,##0.0_-;\-* #,##0.0_-;_-* &quot;-&quot;??_-;_-@_-"/>
    <numFmt numFmtId="167" formatCode="_-* #,##0_-;\-* #,##0_-;_-* &quot;-&quot;??_-;_-@_-"/>
    <numFmt numFmtId="168" formatCode="0.000"/>
    <numFmt numFmtId="169" formatCode="0.0%"/>
    <numFmt numFmtId="170" formatCode="&quot;£&quot;#,##0"/>
    <numFmt numFmtId="171" formatCode="#,##0.0"/>
    <numFmt numFmtId="172" formatCode="_-&quot;£&quot;* #,##0_-;\-&quot;£&quot;* #,##0_-;_-&quot;£&quot;* &quot;-&quot;??_-;_-@_-"/>
    <numFmt numFmtId="173" formatCode="_-[$€-2]* #,##0.00_-;\-[$€-2]* #,##0.00_-;_-[$€-2]* &quot;-&quot;??_-"/>
    <numFmt numFmtId="174" formatCode="[&gt;0.5]#,##0;[&lt;-0.5]\-#,##0;\-"/>
    <numFmt numFmtId="175" formatCode="_-* #,##0\ _F_-;\-* #,##0\ _F_-;_-* &quot;-&quot;\ _F_-;_-@_-"/>
    <numFmt numFmtId="176" formatCode="_-* #,##0.00\ _F_-;\-* #,##0.00\ _F_-;_-* &quot;-&quot;??\ _F_-;_-@_-"/>
    <numFmt numFmtId="177" formatCode="_-* #,##0\ &quot;F&quot;_-;\-* #,##0\ &quot;F&quot;_-;_-* &quot;-&quot;\ &quot;F&quot;_-;_-@_-"/>
    <numFmt numFmtId="178" formatCode="_-* #,##0.00\ &quot;F&quot;_-;\-* #,##0.00\ &quot;F&quot;_-;_-* &quot;-&quot;??\ &quot;F&quot;_-;_-@_-"/>
    <numFmt numFmtId="179" formatCode="###.0"/>
    <numFmt numFmtId="180" formatCode="##.0"/>
    <numFmt numFmtId="181" formatCode="#,###,##0"/>
    <numFmt numFmtId="182" formatCode="_-&quot;öS&quot;\ * #,##0_-;\-&quot;öS&quot;\ * #,##0_-;_-&quot;öS&quot;\ * &quot;-&quot;_-;_-@_-"/>
    <numFmt numFmtId="183" formatCode="_-&quot;öS&quot;\ * #,##0.00_-;\-&quot;öS&quot;\ * #,##0.00_-;_-&quot;öS&quot;\ * &quot;-&quot;??_-;_-@_-"/>
    <numFmt numFmtId="184" formatCode="0.0000%"/>
    <numFmt numFmtId="185" formatCode="#,##0.00;\-#,##0.00;\-"/>
    <numFmt numFmtId="186" formatCode="#,##0_ ;\-#,##0\ "/>
    <numFmt numFmtId="187" formatCode="&quot; &quot;#,##0.0&quot; &quot;;&quot;-&quot;#,##0.0&quot; &quot;;&quot; -&quot;00&quot; &quot;;&quot; &quot;@&quot; &quot;"/>
    <numFmt numFmtId="188" formatCode="[$$-C09]#,##0.0"/>
    <numFmt numFmtId="189" formatCode="&quot; &quot;#,##0.00&quot; &quot;;&quot;-&quot;#,##0.00&quot; &quot;;&quot; -&quot;00&quot; &quot;;&quot; &quot;@&quot; &quot;"/>
    <numFmt numFmtId="190" formatCode="&quot; &quot;#,##0.00&quot; &quot;;&quot; (&quot;#,##0.00&quot;)&quot;;&quot; -&quot;00&quot; &quot;;&quot; &quot;@&quot; &quot;"/>
    <numFmt numFmtId="191" formatCode="&quot;£&quot;#,##0.00"/>
  </numFmts>
  <fonts count="13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Segoe UI"/>
      <family val="2"/>
    </font>
    <font>
      <sz val="10"/>
      <color theme="1"/>
      <name val="Segoe UI"/>
      <family val="2"/>
    </font>
    <font>
      <sz val="10"/>
      <color theme="1"/>
      <name val="Segoe U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u/>
      <sz val="10"/>
      <color theme="10"/>
      <name val="Arial"/>
      <family val="2"/>
    </font>
    <font>
      <u/>
      <sz val="10"/>
      <color theme="11"/>
      <name val="Arial"/>
      <family val="2"/>
    </font>
    <font>
      <sz val="9"/>
      <name val="Verdana"/>
      <family val="2"/>
    </font>
    <font>
      <sz val="10"/>
      <name val="Arial"/>
      <family val="2"/>
    </font>
    <font>
      <sz val="10"/>
      <color theme="1"/>
      <name val="Arial"/>
      <family val="2"/>
    </font>
    <font>
      <b/>
      <sz val="10"/>
      <name val="Arial"/>
      <family val="2"/>
    </font>
    <font>
      <sz val="11"/>
      <name val="Calibri"/>
      <family val="2"/>
      <scheme val="minor"/>
    </font>
    <font>
      <b/>
      <sz val="10"/>
      <color theme="1"/>
      <name val="Arial"/>
      <family val="2"/>
    </font>
    <font>
      <sz val="10"/>
      <color rgb="FFFF0000"/>
      <name val="Arial"/>
      <family val="2"/>
    </font>
    <font>
      <i/>
      <sz val="10"/>
      <color rgb="FFFF0000"/>
      <name val="Arial"/>
      <family val="2"/>
    </font>
    <font>
      <b/>
      <sz val="11"/>
      <color theme="1"/>
      <name val="Calibri"/>
      <family val="2"/>
      <scheme val="minor"/>
    </font>
    <font>
      <sz val="11"/>
      <color rgb="FF006100"/>
      <name val="Calibri"/>
      <family val="2"/>
      <scheme val="minor"/>
    </font>
    <font>
      <b/>
      <sz val="11"/>
      <name val="Calibri"/>
      <family val="2"/>
      <scheme val="minor"/>
    </font>
    <font>
      <b/>
      <sz val="12"/>
      <name val="Arial"/>
      <family val="2"/>
    </font>
    <font>
      <i/>
      <sz val="10"/>
      <color theme="1"/>
      <name val="Arial"/>
      <family val="2"/>
    </font>
    <font>
      <sz val="11"/>
      <color rgb="FF9C0006"/>
      <name val="Calibri"/>
      <family val="2"/>
      <scheme val="minor"/>
    </font>
    <font>
      <sz val="10"/>
      <color theme="0" tint="-0.249977111117893"/>
      <name val="Arial"/>
      <family val="2"/>
    </font>
    <font>
      <i/>
      <sz val="10"/>
      <color theme="0" tint="-0.499984740745262"/>
      <name val="Arial"/>
      <family val="2"/>
    </font>
    <font>
      <sz val="10"/>
      <color theme="0" tint="-0.499984740745262"/>
      <name val="Arial"/>
      <family val="2"/>
    </font>
    <font>
      <sz val="10"/>
      <name val="Segoe UI"/>
      <family val="2"/>
    </font>
    <font>
      <sz val="11"/>
      <color theme="1"/>
      <name val="Arial"/>
      <family val="2"/>
    </font>
    <font>
      <b/>
      <sz val="10"/>
      <color indexed="8"/>
      <name val="Arial"/>
      <family val="2"/>
    </font>
    <font>
      <sz val="10"/>
      <color theme="0"/>
      <name val="Arial"/>
      <family val="2"/>
    </font>
    <font>
      <i/>
      <sz val="10"/>
      <name val="Segoe UI"/>
      <family val="2"/>
    </font>
    <font>
      <b/>
      <sz val="10"/>
      <name val="Segoe UI"/>
      <family val="2"/>
    </font>
    <font>
      <sz val="12"/>
      <color indexed="8"/>
      <name val="Arial"/>
      <family val="2"/>
    </font>
    <font>
      <sz val="10"/>
      <name val="Arial Cyr"/>
      <charset val="204"/>
    </font>
    <font>
      <sz val="12"/>
      <color indexed="9"/>
      <name val="Arial"/>
      <family val="2"/>
    </font>
    <font>
      <sz val="11"/>
      <color theme="0"/>
      <name val="Calibri"/>
      <family val="2"/>
      <scheme val="minor"/>
    </font>
    <font>
      <sz val="9"/>
      <name val="Times New Roman"/>
      <family val="1"/>
    </font>
    <font>
      <sz val="12"/>
      <color indexed="20"/>
      <name val="Arial"/>
      <family val="2"/>
    </font>
    <font>
      <b/>
      <sz val="9"/>
      <name val="Times New Roman"/>
      <family val="1"/>
    </font>
    <font>
      <b/>
      <sz val="12"/>
      <color indexed="52"/>
      <name val="Arial"/>
      <family val="2"/>
    </font>
    <font>
      <b/>
      <sz val="11"/>
      <color rgb="FFFA7D00"/>
      <name val="Calibri"/>
      <family val="2"/>
      <scheme val="minor"/>
    </font>
    <font>
      <b/>
      <sz val="12"/>
      <color indexed="9"/>
      <name val="Arial"/>
      <family val="2"/>
    </font>
    <font>
      <b/>
      <sz val="11"/>
      <color theme="0"/>
      <name val="Calibri"/>
      <family val="2"/>
      <scheme val="minor"/>
    </font>
    <font>
      <sz val="11"/>
      <color indexed="8"/>
      <name val="Calibri"/>
      <family val="2"/>
    </font>
    <font>
      <i/>
      <sz val="12"/>
      <color indexed="23"/>
      <name val="Arial"/>
      <family val="2"/>
    </font>
    <font>
      <i/>
      <sz val="11"/>
      <color rgb="FF7F7F7F"/>
      <name val="Calibri"/>
      <family val="2"/>
      <scheme val="minor"/>
    </font>
    <font>
      <sz val="12"/>
      <color indexed="17"/>
      <name val="Arial"/>
      <family val="2"/>
    </font>
    <font>
      <sz val="14"/>
      <name val="Arial"/>
      <family val="2"/>
    </font>
    <font>
      <b/>
      <sz val="15"/>
      <color indexed="56"/>
      <name val="Arial"/>
      <family val="2"/>
    </font>
    <font>
      <b/>
      <sz val="15"/>
      <color theme="3"/>
      <name val="Calibri"/>
      <family val="2"/>
      <scheme val="minor"/>
    </font>
    <font>
      <b/>
      <sz val="13"/>
      <color indexed="56"/>
      <name val="Arial"/>
      <family val="2"/>
    </font>
    <font>
      <b/>
      <sz val="13"/>
      <color theme="3"/>
      <name val="Calibri"/>
      <family val="2"/>
      <scheme val="minor"/>
    </font>
    <font>
      <b/>
      <sz val="11"/>
      <color indexed="56"/>
      <name val="Arial"/>
      <family val="2"/>
    </font>
    <font>
      <b/>
      <sz val="11"/>
      <color theme="3"/>
      <name val="Calibri"/>
      <family val="2"/>
      <scheme val="minor"/>
    </font>
    <font>
      <u/>
      <sz val="10"/>
      <color indexed="12"/>
      <name val="Arial"/>
      <family val="2"/>
    </font>
    <font>
      <u/>
      <sz val="11"/>
      <color theme="10"/>
      <name val="Calibri"/>
      <family val="2"/>
      <scheme val="minor"/>
    </font>
    <font>
      <sz val="12"/>
      <color indexed="62"/>
      <name val="Arial"/>
      <family val="2"/>
    </font>
    <font>
      <sz val="11"/>
      <color rgb="FF3F3F76"/>
      <name val="Calibri"/>
      <family val="2"/>
      <scheme val="minor"/>
    </font>
    <font>
      <sz val="12"/>
      <color indexed="52"/>
      <name val="Arial"/>
      <family val="2"/>
    </font>
    <font>
      <sz val="11"/>
      <color rgb="FFFA7D00"/>
      <name val="Calibri"/>
      <family val="2"/>
      <scheme val="minor"/>
    </font>
    <font>
      <sz val="12"/>
      <color indexed="60"/>
      <name val="Arial"/>
      <family val="2"/>
    </font>
    <font>
      <sz val="11"/>
      <color indexed="8"/>
      <name val="Arial"/>
      <family val="2"/>
    </font>
    <font>
      <b/>
      <sz val="12"/>
      <color indexed="63"/>
      <name val="Arial"/>
      <family val="2"/>
    </font>
    <font>
      <b/>
      <sz val="11"/>
      <color rgb="FF3F3F3F"/>
      <name val="Calibri"/>
      <family val="2"/>
      <scheme val="minor"/>
    </font>
    <font>
      <sz val="10"/>
      <name val="Times New Roman"/>
      <family val="1"/>
    </font>
    <font>
      <i/>
      <sz val="12"/>
      <name val="Times New Roman"/>
      <family val="1"/>
    </font>
    <font>
      <sz val="8"/>
      <name val="Helv"/>
    </font>
    <font>
      <sz val="8"/>
      <name val="Arial"/>
      <family val="2"/>
    </font>
    <font>
      <b/>
      <sz val="18"/>
      <color indexed="56"/>
      <name val="Cambria"/>
      <family val="2"/>
    </font>
    <font>
      <b/>
      <sz val="14"/>
      <name val="Helv"/>
    </font>
    <font>
      <b/>
      <sz val="12"/>
      <name val="Helv"/>
    </font>
    <font>
      <b/>
      <sz val="10"/>
      <color indexed="18"/>
      <name val="Arial"/>
      <family val="2"/>
    </font>
    <font>
      <b/>
      <sz val="12"/>
      <color indexed="8"/>
      <name val="Arial"/>
      <family val="2"/>
    </font>
    <font>
      <sz val="12"/>
      <color indexed="10"/>
      <name val="Arial"/>
      <family val="2"/>
    </font>
    <font>
      <sz val="11"/>
      <color rgb="FFFF0000"/>
      <name val="Calibri"/>
      <family val="2"/>
      <scheme val="minor"/>
    </font>
    <font>
      <b/>
      <sz val="12"/>
      <color indexed="12"/>
      <name val="Arial"/>
      <family val="2"/>
    </font>
    <font>
      <u/>
      <sz val="10"/>
      <color theme="10"/>
      <name val="Segoe UI"/>
      <family val="2"/>
    </font>
    <font>
      <sz val="10"/>
      <color theme="0" tint="-0.34998626667073579"/>
      <name val="Arial"/>
      <family val="2"/>
    </font>
    <font>
      <sz val="16"/>
      <color rgb="FFFF0000"/>
      <name val="Calibri Light"/>
      <family val="2"/>
      <scheme val="major"/>
    </font>
    <font>
      <u/>
      <sz val="16"/>
      <color rgb="FFFF0000"/>
      <name val="Calibri Light"/>
      <family val="2"/>
      <scheme val="major"/>
    </font>
    <font>
      <sz val="10"/>
      <color rgb="FFC00000"/>
      <name val="Arial"/>
      <family val="2"/>
    </font>
    <font>
      <b/>
      <sz val="10"/>
      <color rgb="FF000000"/>
      <name val="Arial"/>
      <family val="2"/>
    </font>
    <font>
      <b/>
      <vertAlign val="superscript"/>
      <sz val="11"/>
      <color rgb="FF000000"/>
      <name val="Arial"/>
      <family val="2"/>
    </font>
    <font>
      <vertAlign val="superscript"/>
      <sz val="10"/>
      <color rgb="FF000000"/>
      <name val="Arial"/>
      <family val="2"/>
    </font>
    <font>
      <b/>
      <sz val="11"/>
      <color theme="0" tint="-0.499984740745262"/>
      <name val="Calibri"/>
      <family val="2"/>
      <scheme val="minor"/>
    </font>
    <font>
      <i/>
      <sz val="10"/>
      <color theme="0" tint="-0.34998626667073579"/>
      <name val="Arial"/>
      <family val="2"/>
    </font>
    <font>
      <i/>
      <sz val="9"/>
      <color theme="0" tint="-0.499984740745262"/>
      <name val="Verdana"/>
      <family val="2"/>
    </font>
    <font>
      <i/>
      <sz val="10"/>
      <color theme="0" tint="-0.249977111117893"/>
      <name val="Arial"/>
      <family val="2"/>
    </font>
    <font>
      <i/>
      <sz val="11"/>
      <color theme="1" tint="0.249977111117893"/>
      <name val="Calibri"/>
      <family val="2"/>
      <scheme val="minor"/>
    </font>
    <font>
      <i/>
      <sz val="10"/>
      <color theme="1" tint="0.249977111117893"/>
      <name val="Arial"/>
      <family val="2"/>
    </font>
    <font>
      <b/>
      <u/>
      <sz val="11"/>
      <color theme="1"/>
      <name val="Calibri"/>
      <family val="2"/>
      <scheme val="minor"/>
    </font>
    <font>
      <i/>
      <sz val="10"/>
      <name val="Arial"/>
      <family val="2"/>
    </font>
    <font>
      <b/>
      <sz val="12"/>
      <color theme="1"/>
      <name val="Arial"/>
      <family val="2"/>
    </font>
    <font>
      <sz val="10"/>
      <color rgb="FF000000"/>
      <name val="Arial"/>
      <family val="2"/>
    </font>
    <font>
      <u/>
      <sz val="10"/>
      <color rgb="FF0000FF"/>
      <name val="Arial"/>
      <family val="2"/>
    </font>
    <font>
      <b/>
      <sz val="9"/>
      <color rgb="FF000000"/>
      <name val="Times New Roman"/>
      <family val="1"/>
    </font>
    <font>
      <sz val="10"/>
      <color rgb="FF222222"/>
      <name val="Verdana"/>
      <family val="2"/>
    </font>
    <font>
      <b/>
      <sz val="10"/>
      <color theme="0"/>
      <name val="Arial"/>
      <family val="2"/>
    </font>
    <font>
      <sz val="10"/>
      <name val="Verdana"/>
      <family val="2"/>
    </font>
    <font>
      <b/>
      <sz val="16"/>
      <color theme="1"/>
      <name val="Arial"/>
      <family val="2"/>
    </font>
    <font>
      <b/>
      <i/>
      <sz val="10"/>
      <name val="Arial"/>
      <family val="2"/>
    </font>
    <font>
      <b/>
      <sz val="9"/>
      <name val="Verdana"/>
      <family val="2"/>
    </font>
    <font>
      <i/>
      <sz val="10"/>
      <color theme="0"/>
      <name val="Arial"/>
      <family val="2"/>
    </font>
    <font>
      <b/>
      <i/>
      <sz val="10"/>
      <color theme="1"/>
      <name val="Arial"/>
      <family val="2"/>
    </font>
    <font>
      <i/>
      <sz val="10"/>
      <color theme="0" tint="-0.34998626667073579"/>
      <name val="Segoe UI"/>
      <family val="2"/>
    </font>
    <font>
      <b/>
      <i/>
      <sz val="10"/>
      <color theme="0" tint="-0.34998626667073579"/>
      <name val="Arial"/>
      <family val="2"/>
    </font>
    <font>
      <sz val="11"/>
      <color theme="1"/>
      <name val="Calibri"/>
      <family val="2"/>
    </font>
    <font>
      <sz val="11"/>
      <name val="Calibri"/>
      <family val="2"/>
    </font>
    <font>
      <sz val="10"/>
      <color theme="8" tint="-0.249977111117893"/>
      <name val="Arial"/>
      <family val="2"/>
    </font>
    <font>
      <b/>
      <sz val="16"/>
      <color theme="1"/>
      <name val="Trebuchet MS"/>
      <family val="2"/>
    </font>
    <font>
      <sz val="11"/>
      <color theme="1"/>
      <name val="Trebuchet MS"/>
      <family val="2"/>
    </font>
    <font>
      <b/>
      <sz val="11"/>
      <color theme="1"/>
      <name val="Trebuchet MS"/>
      <family val="2"/>
    </font>
    <font>
      <u/>
      <sz val="11"/>
      <color theme="1"/>
      <name val="Trebuchet MS"/>
      <family val="2"/>
    </font>
    <font>
      <i/>
      <sz val="11"/>
      <color theme="8" tint="-0.249977111117893"/>
      <name val="Trebuchet MS"/>
      <family val="2"/>
    </font>
    <font>
      <b/>
      <sz val="10"/>
      <color theme="5" tint="-0.499984740745262"/>
      <name val="Arial"/>
      <family val="2"/>
    </font>
    <font>
      <sz val="9"/>
      <color theme="1"/>
      <name val="Trebuchet MS"/>
      <family val="2"/>
    </font>
    <font>
      <sz val="10"/>
      <color theme="1"/>
      <name val="Trebuchet MS"/>
      <family val="2"/>
    </font>
    <font>
      <sz val="8"/>
      <color theme="1"/>
      <name val="Trebuchet MS"/>
      <family val="2"/>
    </font>
    <font>
      <sz val="8"/>
      <color theme="0"/>
      <name val="Trebuchet MS"/>
      <family val="2"/>
    </font>
    <font>
      <i/>
      <sz val="9"/>
      <color theme="1" tint="0.499984740745262"/>
      <name val="Arial"/>
      <family val="2"/>
    </font>
    <font>
      <sz val="14"/>
      <color theme="0"/>
      <name val="Arial"/>
      <family val="2"/>
    </font>
    <font>
      <sz val="11"/>
      <color theme="0"/>
      <name val="Trebuchet MS"/>
      <family val="2"/>
    </font>
    <font>
      <sz val="11"/>
      <color theme="4" tint="0.79998168889431442"/>
      <name val="Trebuchet MS"/>
      <family val="2"/>
    </font>
    <font>
      <sz val="11"/>
      <color rgb="FFFF0000"/>
      <name val="Trebuchet MS"/>
      <family val="2"/>
    </font>
    <font>
      <sz val="9"/>
      <color rgb="FFFF0000"/>
      <name val="Arial"/>
      <family val="2"/>
    </font>
    <font>
      <i/>
      <sz val="9"/>
      <color rgb="FFC00000"/>
      <name val="Arial"/>
      <family val="2"/>
    </font>
  </fonts>
  <fills count="77">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7CE"/>
      </patternFill>
    </fill>
    <fill>
      <patternFill patternType="solid">
        <fgColor rgb="FFFFC000"/>
        <bgColor indexed="64"/>
      </patternFill>
    </fill>
    <fill>
      <patternFill patternType="solid">
        <fgColor theme="0" tint="-0.14999847407452621"/>
        <bgColor indexed="64"/>
      </patternFill>
    </fill>
    <fill>
      <patternFill patternType="solid">
        <fgColor rgb="FFC6EF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43"/>
        <bgColor indexed="64"/>
      </patternFill>
    </fill>
    <fill>
      <patternFill patternType="solid">
        <fgColor indexed="43"/>
      </patternFill>
    </fill>
    <fill>
      <patternFill patternType="solid">
        <fgColor indexed="26"/>
        <bgColor indexed="64"/>
      </patternFill>
    </fill>
    <fill>
      <patternFill patternType="lightGray">
        <fgColor indexed="9"/>
      </patternFill>
    </fill>
    <fill>
      <patternFill patternType="gray0625">
        <fgColor indexed="9"/>
      </patternFill>
    </fill>
    <fill>
      <patternFill patternType="solid">
        <fgColor theme="4" tint="0.79998168889431442"/>
        <bgColor indexed="64"/>
      </patternFill>
    </fill>
    <fill>
      <patternFill patternType="solid">
        <fgColor theme="2" tint="-4.9989318521683403E-2"/>
        <bgColor indexed="64"/>
      </patternFill>
    </fill>
    <fill>
      <patternFill patternType="solid">
        <fgColor theme="5"/>
        <bgColor indexed="64"/>
      </patternFill>
    </fill>
    <fill>
      <patternFill patternType="solid">
        <fgColor rgb="FFFFFF00"/>
        <bgColor rgb="FFFFFF00"/>
      </patternFill>
    </fill>
    <fill>
      <patternFill patternType="solid">
        <fgColor theme="5" tint="0.79998168889431442"/>
        <bgColor indexed="64"/>
      </patternFill>
    </fill>
    <fill>
      <patternFill patternType="solid">
        <fgColor rgb="FFFFFFFF"/>
        <bgColor indexed="64"/>
      </patternFill>
    </fill>
    <fill>
      <patternFill patternType="solid">
        <fgColor theme="1"/>
        <bgColor indexed="64"/>
      </patternFill>
    </fill>
    <fill>
      <patternFill patternType="solid">
        <fgColor theme="4"/>
        <bgColor indexed="64"/>
      </patternFill>
    </fill>
    <fill>
      <patternFill patternType="solid">
        <fgColor theme="1" tint="0.34998626667073579"/>
        <bgColor indexed="64"/>
      </patternFill>
    </fill>
    <fill>
      <patternFill patternType="solid">
        <fgColor theme="5" tint="-0.499984740745262"/>
        <bgColor indexed="64"/>
      </patternFill>
    </fill>
    <fill>
      <patternFill patternType="solid">
        <fgColor theme="8"/>
        <bgColor indexed="64"/>
      </patternFill>
    </fill>
    <fill>
      <patternFill patternType="lightUp">
        <fgColor auto="1"/>
        <bgColor theme="0"/>
      </patternFill>
    </fill>
    <fill>
      <patternFill patternType="lightUp">
        <fgColor auto="1"/>
        <bgColor theme="4" tint="0.79998168889431442"/>
      </patternFill>
    </fill>
    <fill>
      <patternFill patternType="lightUp">
        <fgColor auto="1"/>
        <bgColor theme="0" tint="-4.9989318521683403E-2"/>
      </patternFill>
    </fill>
    <fill>
      <patternFill patternType="solid">
        <fgColor theme="0" tint="-0.249977111117893"/>
        <bgColor indexed="64"/>
      </patternFill>
    </fill>
    <fill>
      <patternFill patternType="solid">
        <fgColor theme="1" tint="0.249977111117893"/>
        <bgColor indexed="64"/>
      </patternFill>
    </fill>
  </fills>
  <borders count="77">
    <border>
      <left/>
      <right/>
      <top/>
      <bottom/>
      <diagonal/>
    </border>
    <border>
      <left/>
      <right/>
      <top/>
      <bottom style="thin">
        <color auto="1"/>
      </bottom>
      <diagonal/>
    </border>
    <border>
      <left style="thin">
        <color indexed="64"/>
      </left>
      <right style="thin">
        <color indexed="64"/>
      </right>
      <top/>
      <bottom style="thin">
        <color auto="1"/>
      </bottom>
      <diagonal/>
    </border>
    <border>
      <left style="thin">
        <color auto="1"/>
      </left>
      <right style="thin">
        <color indexed="64"/>
      </right>
      <top/>
      <bottom/>
      <diagonal/>
    </border>
    <border>
      <left/>
      <right style="thin">
        <color indexed="64"/>
      </right>
      <top/>
      <bottom/>
      <diagonal/>
    </border>
    <border>
      <left/>
      <right style="thin">
        <color indexed="64"/>
      </right>
      <top/>
      <bottom style="thin">
        <color auto="1"/>
      </bottom>
      <diagonal/>
    </border>
    <border>
      <left style="thin">
        <color indexed="64"/>
      </left>
      <right/>
      <top/>
      <bottom style="thin">
        <color indexed="64"/>
      </bottom>
      <diagonal/>
    </border>
    <border>
      <left style="thin">
        <color auto="1"/>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auto="1"/>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indexed="64"/>
      </right>
      <top style="thin">
        <color indexed="64"/>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64"/>
      </right>
      <top style="thin">
        <color indexed="64"/>
      </top>
      <bottom/>
      <diagonal/>
    </border>
    <border>
      <left/>
      <right/>
      <top style="thin">
        <color rgb="FF000000"/>
      </top>
      <bottom style="thin">
        <color rgb="FF000000"/>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diagonal/>
    </border>
    <border>
      <left/>
      <right/>
      <top style="thin">
        <color theme="0"/>
      </top>
      <bottom/>
      <diagonal/>
    </border>
    <border>
      <left style="thin">
        <color theme="0"/>
      </left>
      <right/>
      <top style="thin">
        <color theme="0"/>
      </top>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style="thin">
        <color rgb="FFFF0000"/>
      </bottom>
      <diagonal/>
    </border>
    <border>
      <left/>
      <right style="thin">
        <color rgb="FFFF0000"/>
      </right>
      <top/>
      <bottom style="thin">
        <color rgb="FFFF0000"/>
      </bottom>
      <diagonal/>
    </border>
  </borders>
  <cellStyleXfs count="8706">
    <xf numFmtId="0" fontId="0" fillId="0" borderId="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4" fillId="0" borderId="0"/>
    <xf numFmtId="9" fontId="14" fillId="0" borderId="0" applyFon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5" fillId="0" borderId="0"/>
    <xf numFmtId="43" fontId="16" fillId="0" borderId="0" applyFont="0" applyFill="0" applyBorder="0" applyAlignment="0" applyProtection="0"/>
    <xf numFmtId="9" fontId="16"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1" fillId="0" borderId="0"/>
    <xf numFmtId="0" fontId="16" fillId="0" borderId="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43" fontId="16" fillId="0" borderId="0" applyFont="0" applyFill="0" applyBorder="0" applyAlignment="0" applyProtection="0"/>
    <xf numFmtId="9" fontId="16"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2" fillId="0" borderId="0" applyNumberFormat="0" applyFill="0" applyBorder="0" applyAlignment="0" applyProtection="0"/>
    <xf numFmtId="0" fontId="13" fillId="0" borderId="0" applyNumberFormat="0" applyFill="0" applyBorder="0" applyAlignment="0" applyProtection="0"/>
    <xf numFmtId="0" fontId="10" fillId="0" borderId="0"/>
    <xf numFmtId="43" fontId="10" fillId="0" borderId="0" applyFont="0" applyFill="0" applyBorder="0" applyAlignment="0" applyProtection="0"/>
    <xf numFmtId="9" fontId="10" fillId="0" borderId="0" applyFont="0" applyFill="0" applyBorder="0" applyAlignment="0" applyProtection="0"/>
    <xf numFmtId="0" fontId="16" fillId="0" borderId="0"/>
    <xf numFmtId="43" fontId="16" fillId="0" borderId="0" applyFont="0" applyFill="0" applyBorder="0" applyAlignment="0" applyProtection="0"/>
    <xf numFmtId="9" fontId="16" fillId="0" borderId="0" applyFont="0" applyFill="0" applyBorder="0" applyAlignment="0" applyProtection="0"/>
    <xf numFmtId="0" fontId="10" fillId="0" borderId="0"/>
    <xf numFmtId="0" fontId="9" fillId="0" borderId="0"/>
    <xf numFmtId="44" fontId="16" fillId="0" borderId="0" applyFont="0" applyFill="0" applyBorder="0" applyAlignment="0" applyProtection="0"/>
    <xf numFmtId="0" fontId="8" fillId="0" borderId="0"/>
    <xf numFmtId="0" fontId="7" fillId="0" borderId="0"/>
    <xf numFmtId="9" fontId="7" fillId="0" borderId="0" applyFont="0" applyFill="0" applyBorder="0" applyAlignment="0" applyProtection="0"/>
    <xf numFmtId="43" fontId="7" fillId="0" borderId="0" applyFont="0" applyFill="0" applyBorder="0" applyAlignment="0" applyProtection="0"/>
    <xf numFmtId="0" fontId="8" fillId="0" borderId="0"/>
    <xf numFmtId="0" fontId="8" fillId="0" borderId="0"/>
    <xf numFmtId="0" fontId="15" fillId="0" borderId="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8" fillId="13"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37" fillId="37" borderId="0" applyNumberFormat="0" applyBorder="0" applyAlignment="0" applyProtection="0"/>
    <xf numFmtId="0" fontId="8" fillId="17"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37" fillId="38" borderId="0" applyNumberFormat="0" applyBorder="0" applyAlignment="0" applyProtection="0"/>
    <xf numFmtId="0" fontId="8" fillId="21"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8" fillId="25"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8" fillId="29"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37" fillId="41" borderId="0" applyNumberFormat="0" applyBorder="0" applyAlignment="0" applyProtection="0"/>
    <xf numFmtId="0" fontId="8" fillId="33"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8" fillId="14"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37" fillId="43" borderId="0" applyNumberFormat="0" applyBorder="0" applyAlignment="0" applyProtection="0"/>
    <xf numFmtId="0" fontId="8" fillId="18"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37" fillId="44" borderId="0" applyNumberFormat="0" applyBorder="0" applyAlignment="0" applyProtection="0"/>
    <xf numFmtId="0" fontId="8" fillId="22"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37" fillId="39" borderId="0" applyNumberFormat="0" applyBorder="0" applyAlignment="0" applyProtection="0"/>
    <xf numFmtId="0" fontId="8" fillId="26"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37" fillId="42" borderId="0" applyNumberFormat="0" applyBorder="0" applyAlignment="0" applyProtection="0"/>
    <xf numFmtId="0" fontId="8" fillId="30"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37" fillId="45" borderId="0" applyNumberFormat="0" applyBorder="0" applyAlignment="0" applyProtection="0"/>
    <xf numFmtId="0" fontId="8" fillId="34" borderId="0" applyNumberFormat="0" applyBorder="0" applyAlignment="0" applyProtection="0"/>
    <xf numFmtId="0" fontId="38" fillId="0" borderId="0" applyNumberFormat="0" applyFont="0" applyFill="0" applyBorder="0" applyProtection="0">
      <alignment horizontal="left" vertical="center" indent="5"/>
    </xf>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39" fillId="46" borderId="0" applyNumberFormat="0" applyBorder="0" applyAlignment="0" applyProtection="0"/>
    <xf numFmtId="0" fontId="40" fillId="15"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39" fillId="43" borderId="0" applyNumberFormat="0" applyBorder="0" applyAlignment="0" applyProtection="0"/>
    <xf numFmtId="0" fontId="40" fillId="19"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39" fillId="44" borderId="0" applyNumberFormat="0" applyBorder="0" applyAlignment="0" applyProtection="0"/>
    <xf numFmtId="0" fontId="40" fillId="23"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40" fillId="27"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40" fillId="31"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39" fillId="49" borderId="0" applyNumberFormat="0" applyBorder="0" applyAlignment="0" applyProtection="0"/>
    <xf numFmtId="0" fontId="40" fillId="35"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39" fillId="50" borderId="0" applyNumberFormat="0" applyBorder="0" applyAlignment="0" applyProtection="0"/>
    <xf numFmtId="0" fontId="40" fillId="12"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39" fillId="51" borderId="0" applyNumberFormat="0" applyBorder="0" applyAlignment="0" applyProtection="0"/>
    <xf numFmtId="0" fontId="40" fillId="16"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39" fillId="52" borderId="0" applyNumberFormat="0" applyBorder="0" applyAlignment="0" applyProtection="0"/>
    <xf numFmtId="0" fontId="40" fillId="20"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39" fillId="47" borderId="0" applyNumberFormat="0" applyBorder="0" applyAlignment="0" applyProtection="0"/>
    <xf numFmtId="0" fontId="40" fillId="24"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39" fillId="48" borderId="0" applyNumberFormat="0" applyBorder="0" applyAlignment="0" applyProtection="0"/>
    <xf numFmtId="0" fontId="40" fillId="28"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39" fillId="53" borderId="0" applyNumberFormat="0" applyBorder="0" applyAlignment="0" applyProtection="0"/>
    <xf numFmtId="0" fontId="40" fillId="32" borderId="0" applyNumberFormat="0" applyBorder="0" applyAlignment="0" applyProtection="0"/>
    <xf numFmtId="4" fontId="41" fillId="40" borderId="7">
      <alignment horizontal="right" vertical="center"/>
    </xf>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42" fillId="37" borderId="0" applyNumberFormat="0" applyBorder="0" applyAlignment="0" applyProtection="0"/>
    <xf numFmtId="0" fontId="27" fillId="4" borderId="0" applyNumberFormat="0" applyBorder="0" applyAlignment="0" applyProtection="0"/>
    <xf numFmtId="4" fontId="43" fillId="0" borderId="2" applyFill="0" applyBorder="0" applyProtection="0">
      <alignment horizontal="right" vertical="center"/>
    </xf>
    <xf numFmtId="0" fontId="44" fillId="54" borderId="25" applyNumberFormat="0" applyAlignment="0" applyProtection="0"/>
    <xf numFmtId="0" fontId="44" fillId="54" borderId="25" applyNumberFormat="0" applyAlignment="0" applyProtection="0"/>
    <xf numFmtId="0" fontId="44" fillId="54" borderId="25" applyNumberFormat="0" applyAlignment="0" applyProtection="0"/>
    <xf numFmtId="0" fontId="44" fillId="54" borderId="25" applyNumberFormat="0" applyAlignment="0" applyProtection="0"/>
    <xf numFmtId="0" fontId="44" fillId="54" borderId="25" applyNumberFormat="0" applyAlignment="0" applyProtection="0"/>
    <xf numFmtId="0" fontId="44" fillId="54" borderId="25" applyNumberFormat="0" applyAlignment="0" applyProtection="0"/>
    <xf numFmtId="0" fontId="44" fillId="54" borderId="25" applyNumberFormat="0" applyAlignment="0" applyProtection="0"/>
    <xf numFmtId="0" fontId="44" fillId="54" borderId="25" applyNumberFormat="0" applyAlignment="0" applyProtection="0"/>
    <xf numFmtId="0" fontId="44" fillId="54" borderId="25" applyNumberFormat="0" applyAlignment="0" applyProtection="0"/>
    <xf numFmtId="0" fontId="44" fillId="54" borderId="25" applyNumberFormat="0" applyAlignment="0" applyProtection="0"/>
    <xf numFmtId="0" fontId="44" fillId="54" borderId="25" applyNumberFormat="0" applyAlignment="0" applyProtection="0"/>
    <xf numFmtId="0" fontId="44" fillId="54" borderId="25" applyNumberFormat="0" applyAlignment="0" applyProtection="0"/>
    <xf numFmtId="0" fontId="45" fillId="9" borderId="19" applyNumberFormat="0" applyAlignment="0" applyProtection="0"/>
    <xf numFmtId="0" fontId="46" fillId="55" borderId="26" applyNumberFormat="0" applyAlignment="0" applyProtection="0"/>
    <xf numFmtId="0" fontId="46" fillId="55" borderId="26" applyNumberFormat="0" applyAlignment="0" applyProtection="0"/>
    <xf numFmtId="0" fontId="46" fillId="55" borderId="26" applyNumberFormat="0" applyAlignment="0" applyProtection="0"/>
    <xf numFmtId="0" fontId="46" fillId="55" borderId="26" applyNumberFormat="0" applyAlignment="0" applyProtection="0"/>
    <xf numFmtId="0" fontId="47" fillId="10" borderId="22" applyNumberFormat="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164" fontId="15" fillId="0" borderId="0" applyFont="0" applyFill="0" applyBorder="0" applyAlignment="0" applyProtection="0"/>
    <xf numFmtId="164"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48" fillId="0" borderId="0" applyFont="0" applyFill="0" applyBorder="0" applyAlignment="0" applyProtection="0"/>
    <xf numFmtId="43" fontId="8"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16"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5" fillId="56" borderId="0" applyNumberFormat="0" applyFont="0" applyBorder="0" applyAlignment="0"/>
    <xf numFmtId="0" fontId="15" fillId="56" borderId="0" applyNumberFormat="0" applyFont="0" applyBorder="0" applyAlignment="0"/>
    <xf numFmtId="44" fontId="16" fillId="0" borderId="0" applyFont="0" applyFill="0" applyBorder="0" applyAlignment="0" applyProtection="0"/>
    <xf numFmtId="44" fontId="16" fillId="0" borderId="0" applyFont="0" applyFill="0" applyBorder="0" applyAlignment="0" applyProtection="0"/>
    <xf numFmtId="44" fontId="48" fillId="0" borderId="0" applyFont="0" applyFill="0" applyBorder="0" applyAlignment="0" applyProtection="0"/>
    <xf numFmtId="44" fontId="16" fillId="0" borderId="0" applyFont="0" applyFill="0" applyBorder="0" applyAlignment="0" applyProtection="0"/>
    <xf numFmtId="44" fontId="7" fillId="0" borderId="0" applyFont="0" applyFill="0" applyBorder="0" applyAlignment="0" applyProtection="0"/>
    <xf numFmtId="41" fontId="15" fillId="0" borderId="0" applyFont="0" applyFill="0" applyBorder="0" applyAlignment="0" applyProtection="0">
      <alignment wrapText="1"/>
    </xf>
    <xf numFmtId="43" fontId="15" fillId="0" borderId="0" applyFont="0" applyFill="0" applyBorder="0" applyAlignment="0" applyProtection="0">
      <alignment wrapText="1"/>
    </xf>
    <xf numFmtId="173" fontId="15" fillId="0" borderId="0" applyFont="0" applyFill="0" applyBorder="0" applyAlignment="0" applyProtection="0"/>
    <xf numFmtId="173" fontId="15" fillId="0" borderId="0" applyFont="0" applyFill="0" applyBorder="0" applyAlignment="0" applyProtection="0"/>
    <xf numFmtId="0" fontId="49" fillId="0" borderId="0" applyNumberFormat="0" applyFill="0" applyBorder="0" applyAlignment="0" applyProtection="0"/>
    <xf numFmtId="0" fontId="50" fillId="0" borderId="0" applyNumberFormat="0" applyFill="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51" fillId="38" borderId="0" applyNumberFormat="0" applyBorder="0" applyAlignment="0" applyProtection="0"/>
    <xf numFmtId="0" fontId="23" fillId="7" borderId="0" applyNumberFormat="0" applyBorder="0" applyAlignment="0" applyProtection="0"/>
    <xf numFmtId="174" fontId="52" fillId="0" borderId="0">
      <alignment horizontal="left" vertical="center"/>
    </xf>
    <xf numFmtId="0" fontId="53" fillId="0" borderId="27" applyNumberFormat="0" applyFill="0" applyAlignment="0" applyProtection="0"/>
    <xf numFmtId="0" fontId="54" fillId="0" borderId="16" applyNumberFormat="0" applyFill="0" applyAlignment="0" applyProtection="0"/>
    <xf numFmtId="0" fontId="55" fillId="0" borderId="28" applyNumberFormat="0" applyFill="0" applyAlignment="0" applyProtection="0"/>
    <xf numFmtId="0" fontId="56" fillId="0" borderId="17" applyNumberFormat="0" applyFill="0" applyAlignment="0" applyProtection="0"/>
    <xf numFmtId="0" fontId="57" fillId="0" borderId="29" applyNumberFormat="0" applyFill="0" applyAlignment="0" applyProtection="0"/>
    <xf numFmtId="0" fontId="58" fillId="0" borderId="18" applyNumberFormat="0" applyFill="0" applyAlignment="0" applyProtection="0"/>
    <xf numFmtId="0" fontId="57" fillId="0" borderId="0" applyNumberFormat="0" applyFill="0" applyBorder="0" applyAlignment="0" applyProtection="0"/>
    <xf numFmtId="0" fontId="58" fillId="0" borderId="0" applyNumberFormat="0" applyFill="0" applyBorder="0" applyAlignment="0" applyProtection="0"/>
    <xf numFmtId="0" fontId="59"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60" fillId="0" borderId="0" applyNumberFormat="0" applyFill="0" applyBorder="0" applyAlignment="0" applyProtection="0"/>
    <xf numFmtId="0" fontId="61" fillId="41" borderId="25" applyNumberFormat="0" applyAlignment="0" applyProtection="0"/>
    <xf numFmtId="0" fontId="61" fillId="41" borderId="25" applyNumberFormat="0" applyAlignment="0" applyProtection="0"/>
    <xf numFmtId="0" fontId="61" fillId="41" borderId="25" applyNumberFormat="0" applyAlignment="0" applyProtection="0"/>
    <xf numFmtId="0" fontId="61" fillId="41" borderId="25" applyNumberFormat="0" applyAlignment="0" applyProtection="0"/>
    <xf numFmtId="0" fontId="61" fillId="41" borderId="25" applyNumberFormat="0" applyAlignment="0" applyProtection="0"/>
    <xf numFmtId="0" fontId="61" fillId="41" borderId="25" applyNumberFormat="0" applyAlignment="0" applyProtection="0"/>
    <xf numFmtId="0" fontId="61" fillId="41" borderId="25" applyNumberFormat="0" applyAlignment="0" applyProtection="0"/>
    <xf numFmtId="0" fontId="61" fillId="41" borderId="25" applyNumberFormat="0" applyAlignment="0" applyProtection="0"/>
    <xf numFmtId="0" fontId="61" fillId="41" borderId="25" applyNumberFormat="0" applyAlignment="0" applyProtection="0"/>
    <xf numFmtId="0" fontId="61" fillId="41" borderId="25" applyNumberFormat="0" applyAlignment="0" applyProtection="0"/>
    <xf numFmtId="0" fontId="61" fillId="41" borderId="25" applyNumberFormat="0" applyAlignment="0" applyProtection="0"/>
    <xf numFmtId="0" fontId="61" fillId="41" borderId="25" applyNumberFormat="0" applyAlignment="0" applyProtection="0"/>
    <xf numFmtId="0" fontId="62" fillId="8" borderId="19" applyNumberFormat="0" applyAlignment="0" applyProtection="0"/>
    <xf numFmtId="4" fontId="41" fillId="0" borderId="12">
      <alignment horizontal="right" vertical="center"/>
    </xf>
    <xf numFmtId="0" fontId="63" fillId="0" borderId="30" applyNumberFormat="0" applyFill="0" applyAlignment="0" applyProtection="0"/>
    <xf numFmtId="0" fontId="64" fillId="0" borderId="21" applyNumberFormat="0" applyFill="0" applyAlignment="0" applyProtection="0"/>
    <xf numFmtId="0" fontId="15" fillId="41" borderId="0" applyNumberFormat="0" applyFont="0" applyBorder="0" applyAlignment="0"/>
    <xf numFmtId="0" fontId="15" fillId="41" borderId="0" applyNumberFormat="0" applyFont="0" applyBorder="0" applyAlignment="0"/>
    <xf numFmtId="175" fontId="15" fillId="0" borderId="0" applyFont="0" applyFill="0" applyBorder="0" applyAlignment="0" applyProtection="0"/>
    <xf numFmtId="176" fontId="15" fillId="0" borderId="0" applyFont="0" applyFill="0" applyBorder="0" applyAlignment="0" applyProtection="0"/>
    <xf numFmtId="177" fontId="15" fillId="0" borderId="0" applyFont="0" applyFill="0" applyBorder="0" applyAlignment="0" applyProtection="0"/>
    <xf numFmtId="178" fontId="15" fillId="0" borderId="0" applyFont="0" applyFill="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6" borderId="0" applyNumberFormat="0" applyBorder="0" applyAlignment="0" applyProtection="0"/>
    <xf numFmtId="0" fontId="65" fillId="57" borderId="0" applyNumberFormat="0" applyBorder="0" applyAlignment="0" applyProtection="0"/>
    <xf numFmtId="0" fontId="8" fillId="0" borderId="0"/>
    <xf numFmtId="0" fontId="8" fillId="0" borderId="0"/>
    <xf numFmtId="0" fontId="8" fillId="0" borderId="0"/>
    <xf numFmtId="0" fontId="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8" fillId="0" borderId="0"/>
    <xf numFmtId="0" fontId="8" fillId="0" borderId="0"/>
    <xf numFmtId="0" fontId="8" fillId="0" borderId="0"/>
    <xf numFmtId="0" fontId="8" fillId="0" borderId="0"/>
    <xf numFmtId="0" fontId="7" fillId="0" borderId="0"/>
    <xf numFmtId="0" fontId="8" fillId="0" borderId="0"/>
    <xf numFmtId="0" fontId="8" fillId="0" borderId="0"/>
    <xf numFmtId="0" fontId="15" fillId="0" borderId="0"/>
    <xf numFmtId="0" fontId="15" fillId="0" borderId="0"/>
    <xf numFmtId="0" fontId="15" fillId="0" borderId="0"/>
    <xf numFmtId="0" fontId="15" fillId="0" borderId="0"/>
    <xf numFmtId="0" fontId="15" fillId="0" borderId="0"/>
    <xf numFmtId="0" fontId="14" fillId="0" borderId="0"/>
    <xf numFmtId="0" fontId="15" fillId="0" borderId="0"/>
    <xf numFmtId="0" fontId="32" fillId="0" borderId="0"/>
    <xf numFmtId="0" fontId="32" fillId="0" borderId="0"/>
    <xf numFmtId="0" fontId="15" fillId="0" borderId="0"/>
    <xf numFmtId="0" fontId="32" fillId="0" borderId="0"/>
    <xf numFmtId="0" fontId="66"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32" fillId="0" borderId="0"/>
    <xf numFmtId="0" fontId="16" fillId="0" borderId="0"/>
    <xf numFmtId="0" fontId="32" fillId="0" borderId="0"/>
    <xf numFmtId="0" fontId="8" fillId="0" borderId="0"/>
    <xf numFmtId="0" fontId="32" fillId="0" borderId="0"/>
    <xf numFmtId="0" fontId="8" fillId="0" borderId="0"/>
    <xf numFmtId="0" fontId="32" fillId="0" borderId="0"/>
    <xf numFmtId="0" fontId="8" fillId="0" borderId="0"/>
    <xf numFmtId="0" fontId="15" fillId="0" borderId="0"/>
    <xf numFmtId="0" fontId="15" fillId="0" borderId="0"/>
    <xf numFmtId="0" fontId="38" fillId="55" borderId="0" applyNumberFormat="0" applyFont="0" applyBorder="0" applyAlignment="0" applyProtection="0"/>
    <xf numFmtId="0" fontId="37" fillId="58" borderId="31" applyNumberFormat="0" applyFont="0" applyAlignment="0" applyProtection="0"/>
    <xf numFmtId="0" fontId="37" fillId="58" borderId="31" applyNumberFormat="0" applyFont="0" applyAlignment="0" applyProtection="0"/>
    <xf numFmtId="0" fontId="37" fillId="58" borderId="31" applyNumberFormat="0" applyFont="0" applyAlignment="0" applyProtection="0"/>
    <xf numFmtId="0" fontId="37" fillId="58" borderId="31" applyNumberFormat="0" applyFont="0" applyAlignment="0" applyProtection="0"/>
    <xf numFmtId="0" fontId="37" fillId="58" borderId="31" applyNumberFormat="0" applyFont="0" applyAlignment="0" applyProtection="0"/>
    <xf numFmtId="0" fontId="37" fillId="58" borderId="31" applyNumberFormat="0" applyFont="0" applyAlignment="0" applyProtection="0"/>
    <xf numFmtId="0" fontId="37" fillId="58" borderId="31" applyNumberFormat="0" applyFont="0" applyAlignment="0" applyProtection="0"/>
    <xf numFmtId="0" fontId="37" fillId="58" borderId="31" applyNumberFormat="0" applyFont="0" applyAlignment="0" applyProtection="0"/>
    <xf numFmtId="0" fontId="48" fillId="11" borderId="23" applyNumberFormat="0" applyFont="0" applyAlignment="0" applyProtection="0"/>
    <xf numFmtId="0" fontId="67" fillId="54" borderId="32" applyNumberFormat="0" applyAlignment="0" applyProtection="0"/>
    <xf numFmtId="0" fontId="67" fillId="54" borderId="32" applyNumberFormat="0" applyAlignment="0" applyProtection="0"/>
    <xf numFmtId="0" fontId="67" fillId="54" borderId="32" applyNumberFormat="0" applyAlignment="0" applyProtection="0"/>
    <xf numFmtId="0" fontId="67" fillId="54" borderId="32" applyNumberFormat="0" applyAlignment="0" applyProtection="0"/>
    <xf numFmtId="0" fontId="67" fillId="54" borderId="32" applyNumberFormat="0" applyAlignment="0" applyProtection="0"/>
    <xf numFmtId="0" fontId="67" fillId="54" borderId="32" applyNumberFormat="0" applyAlignment="0" applyProtection="0"/>
    <xf numFmtId="0" fontId="67" fillId="54" borderId="32" applyNumberFormat="0" applyAlignment="0" applyProtection="0"/>
    <xf numFmtId="0" fontId="67" fillId="54" borderId="32" applyNumberFormat="0" applyAlignment="0" applyProtection="0"/>
    <xf numFmtId="0" fontId="68" fillId="9" borderId="20" applyNumberFormat="0" applyAlignment="0" applyProtection="0"/>
    <xf numFmtId="9" fontId="15" fillId="0" borderId="0" applyFont="0" applyFill="0" applyBorder="0" applyAlignment="0" applyProtection="0"/>
    <xf numFmtId="9" fontId="8" fillId="0" borderId="0" applyFont="0" applyFill="0" applyBorder="0" applyAlignment="0" applyProtection="0"/>
    <xf numFmtId="9" fontId="8" fillId="0" borderId="0" applyFont="0" applyFill="0" applyBorder="0" applyAlignment="0" applyProtection="0"/>
    <xf numFmtId="9" fontId="16"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6"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4" fillId="0" borderId="0" applyFont="0" applyFill="0" applyBorder="0" applyAlignment="0" applyProtection="0"/>
    <xf numFmtId="9" fontId="15"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66" fillId="0" borderId="0" applyFont="0" applyFill="0" applyBorder="0" applyAlignment="0" applyProtection="0"/>
    <xf numFmtId="9" fontId="16" fillId="0" borderId="0" applyFont="0" applyFill="0" applyBorder="0" applyAlignment="0" applyProtection="0"/>
    <xf numFmtId="9" fontId="66" fillId="0" borderId="0" applyFont="0" applyFill="0" applyBorder="0" applyAlignment="0" applyProtection="0"/>
    <xf numFmtId="9" fontId="32" fillId="0" borderId="0" applyFont="0" applyFill="0" applyBorder="0" applyAlignment="0" applyProtection="0"/>
    <xf numFmtId="13" fontId="15" fillId="0" borderId="0" applyFont="0" applyFill="0" applyProtection="0"/>
    <xf numFmtId="13" fontId="15" fillId="0" borderId="0" applyFont="0" applyFill="0" applyProtection="0"/>
    <xf numFmtId="9" fontId="32" fillId="0" borderId="0" applyFont="0" applyFill="0" applyBorder="0" applyAlignment="0" applyProtection="0"/>
    <xf numFmtId="174" fontId="69" fillId="0" borderId="0" applyFill="0" applyBorder="0" applyAlignment="0" applyProtection="0"/>
    <xf numFmtId="0" fontId="15" fillId="0" borderId="0"/>
    <xf numFmtId="0" fontId="15" fillId="0" borderId="0"/>
    <xf numFmtId="0" fontId="41" fillId="55" borderId="7"/>
    <xf numFmtId="0" fontId="41" fillId="55" borderId="7"/>
    <xf numFmtId="0" fontId="41" fillId="55" borderId="7"/>
    <xf numFmtId="0" fontId="70" fillId="0" borderId="0"/>
    <xf numFmtId="0" fontId="71" fillId="0" borderId="0">
      <alignment horizontal="right"/>
    </xf>
    <xf numFmtId="0" fontId="71" fillId="0" borderId="0">
      <alignment horizontal="left"/>
    </xf>
    <xf numFmtId="0" fontId="72" fillId="0" borderId="0"/>
    <xf numFmtId="179" fontId="15" fillId="0" borderId="0" applyFont="0" applyFill="0" applyBorder="0" applyAlignment="0" applyProtection="0">
      <alignment horizontal="left"/>
    </xf>
    <xf numFmtId="179" fontId="15" fillId="0" borderId="0" applyFont="0" applyFill="0" applyBorder="0" applyAlignment="0" applyProtection="0">
      <alignment horizontal="left"/>
    </xf>
    <xf numFmtId="168" fontId="15" fillId="0" borderId="0" applyFont="0" applyFill="0" applyBorder="0" applyAlignment="0" applyProtection="0">
      <alignment horizontal="left"/>
    </xf>
    <xf numFmtId="168" fontId="15" fillId="0" borderId="0" applyFont="0" applyFill="0" applyBorder="0" applyAlignment="0" applyProtection="0">
      <alignment horizontal="left"/>
    </xf>
    <xf numFmtId="180" fontId="15" fillId="0" borderId="0" applyFont="0" applyFill="0" applyBorder="0" applyAlignment="0" applyProtection="0">
      <alignment horizontal="left"/>
    </xf>
    <xf numFmtId="180" fontId="15" fillId="0" borderId="0" applyFont="0" applyFill="0" applyBorder="0" applyAlignment="0" applyProtection="0">
      <alignment horizontal="left"/>
    </xf>
    <xf numFmtId="49" fontId="15" fillId="0" borderId="0" applyFill="0" applyBorder="0" applyProtection="0">
      <alignment horizontal="left"/>
    </xf>
    <xf numFmtId="49" fontId="15" fillId="0" borderId="0" applyFill="0" applyBorder="0" applyProtection="0">
      <alignment horizontal="left"/>
    </xf>
    <xf numFmtId="179" fontId="15" fillId="0" borderId="0" applyFont="0" applyFill="0" applyBorder="0" applyAlignment="0" applyProtection="0">
      <alignment horizontal="left"/>
    </xf>
    <xf numFmtId="179" fontId="15" fillId="0" borderId="0" applyFont="0" applyFill="0" applyBorder="0" applyAlignment="0" applyProtection="0">
      <alignment horizontal="left"/>
    </xf>
    <xf numFmtId="168" fontId="15" fillId="0" borderId="0" applyFont="0" applyFill="0" applyBorder="0" applyAlignment="0" applyProtection="0">
      <alignment horizontal="left"/>
    </xf>
    <xf numFmtId="168" fontId="15" fillId="0" borderId="0" applyFont="0" applyFill="0" applyBorder="0" applyAlignment="0" applyProtection="0">
      <alignment horizontal="left"/>
    </xf>
    <xf numFmtId="180" fontId="15" fillId="0" borderId="0" applyFont="0" applyFill="0" applyBorder="0" applyAlignment="0" applyProtection="0">
      <alignment horizontal="left"/>
    </xf>
    <xf numFmtId="180" fontId="15" fillId="0" borderId="0" applyFont="0" applyFill="0" applyBorder="0" applyAlignment="0" applyProtection="0">
      <alignment horizontal="left"/>
    </xf>
    <xf numFmtId="49" fontId="15" fillId="0" borderId="0" applyFill="0" applyBorder="0" applyProtection="0">
      <alignment horizontal="left"/>
    </xf>
    <xf numFmtId="49" fontId="15" fillId="0" borderId="0" applyFill="0" applyBorder="0" applyProtection="0">
      <alignment horizontal="left"/>
    </xf>
    <xf numFmtId="0" fontId="73" fillId="0" borderId="0" applyNumberFormat="0" applyFill="0" applyBorder="0" applyAlignment="0" applyProtection="0"/>
    <xf numFmtId="0" fontId="74" fillId="0" borderId="0">
      <alignment horizontal="left" vertical="top"/>
    </xf>
    <xf numFmtId="0" fontId="75" fillId="0" borderId="0">
      <alignment horizontal="left"/>
    </xf>
    <xf numFmtId="181" fontId="76" fillId="59" borderId="0" applyNumberFormat="0" applyBorder="0">
      <protection locked="0"/>
    </xf>
    <xf numFmtId="0" fontId="77" fillId="0" borderId="33" applyNumberFormat="0" applyFill="0" applyAlignment="0" applyProtection="0"/>
    <xf numFmtId="0" fontId="77" fillId="0" borderId="33" applyNumberFormat="0" applyFill="0" applyAlignment="0" applyProtection="0"/>
    <xf numFmtId="0" fontId="77" fillId="0" borderId="33" applyNumberFormat="0" applyFill="0" applyAlignment="0" applyProtection="0"/>
    <xf numFmtId="0" fontId="22" fillId="0" borderId="24" applyNumberFormat="0" applyFill="0" applyAlignment="0" applyProtection="0"/>
    <xf numFmtId="181" fontId="33" fillId="60" borderId="0" applyNumberFormat="0" applyBorder="0">
      <protection locked="0"/>
    </xf>
    <xf numFmtId="41" fontId="15"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44" fontId="15" fillId="0" borderId="0" applyFont="0" applyFill="0" applyBorder="0" applyAlignment="0" applyProtection="0"/>
    <xf numFmtId="182" fontId="69" fillId="0" borderId="0" applyFont="0" applyFill="0" applyBorder="0" applyAlignment="0" applyProtection="0"/>
    <xf numFmtId="183" fontId="69" fillId="0" borderId="0" applyFont="0" applyFill="0" applyBorder="0" applyAlignment="0" applyProtection="0"/>
    <xf numFmtId="0" fontId="78" fillId="0" borderId="0" applyNumberFormat="0" applyFill="0" applyBorder="0" applyAlignment="0" applyProtection="0"/>
    <xf numFmtId="0" fontId="79" fillId="0" borderId="0" applyNumberFormat="0" applyFill="0" applyBorder="0" applyAlignment="0" applyProtection="0"/>
    <xf numFmtId="0" fontId="80" fillId="56" borderId="0">
      <alignment horizontal="left" vertical="center" indent="1"/>
    </xf>
    <xf numFmtId="4" fontId="41" fillId="0" borderId="0"/>
    <xf numFmtId="0" fontId="37" fillId="58" borderId="39" applyNumberFormat="0" applyFont="0" applyAlignment="0" applyProtection="0"/>
    <xf numFmtId="0" fontId="61" fillId="41" borderId="56" applyNumberFormat="0" applyAlignment="0" applyProtection="0"/>
    <xf numFmtId="0" fontId="67" fillId="54" borderId="60" applyNumberFormat="0" applyAlignment="0" applyProtection="0"/>
    <xf numFmtId="0" fontId="37" fillId="58" borderId="43" applyNumberFormat="0" applyFont="0" applyAlignment="0" applyProtection="0"/>
    <xf numFmtId="0" fontId="67" fillId="54" borderId="49" applyNumberFormat="0" applyAlignment="0" applyProtection="0"/>
    <xf numFmtId="9" fontId="32" fillId="0" borderId="0" applyFont="0" applyFill="0" applyBorder="0" applyAlignment="0" applyProtection="0"/>
    <xf numFmtId="0" fontId="37" fillId="58" borderId="55" applyNumberFormat="0" applyFont="0" applyAlignment="0" applyProtection="0"/>
    <xf numFmtId="0" fontId="77" fillId="0" borderId="34" applyNumberFormat="0" applyFill="0" applyAlignment="0" applyProtection="0"/>
    <xf numFmtId="0" fontId="37" fillId="58" borderId="55" applyNumberFormat="0" applyFont="0" applyAlignment="0" applyProtection="0"/>
    <xf numFmtId="0" fontId="44" fillId="54" borderId="40" applyNumberFormat="0" applyAlignment="0" applyProtection="0"/>
    <xf numFmtId="0" fontId="44" fillId="54" borderId="56" applyNumberFormat="0" applyAlignment="0" applyProtection="0"/>
    <xf numFmtId="0" fontId="67" fillId="54" borderId="41" applyNumberFormat="0" applyAlignment="0" applyProtection="0"/>
    <xf numFmtId="0" fontId="61" fillId="41" borderId="56" applyNumberFormat="0" applyAlignment="0" applyProtection="0"/>
    <xf numFmtId="0" fontId="61" fillId="41" borderId="40" applyNumberFormat="0" applyAlignment="0" applyProtection="0"/>
    <xf numFmtId="0" fontId="37" fillId="58" borderId="51" applyNumberFormat="0" applyFont="0" applyAlignment="0" applyProtection="0"/>
    <xf numFmtId="0" fontId="61" fillId="41" borderId="52" applyNumberFormat="0" applyAlignment="0" applyProtection="0"/>
    <xf numFmtId="0" fontId="44" fillId="54" borderId="40" applyNumberFormat="0" applyAlignment="0" applyProtection="0"/>
    <xf numFmtId="0" fontId="61" fillId="41" borderId="40" applyNumberFormat="0" applyAlignment="0" applyProtection="0"/>
    <xf numFmtId="0" fontId="37" fillId="58" borderId="51" applyNumberFormat="0" applyFont="0" applyAlignment="0" applyProtection="0"/>
    <xf numFmtId="0" fontId="61" fillId="41" borderId="59" applyNumberFormat="0" applyAlignment="0" applyProtection="0"/>
    <xf numFmtId="0" fontId="61" fillId="41" borderId="48" applyNumberFormat="0" applyAlignment="0" applyProtection="0"/>
    <xf numFmtId="0" fontId="61" fillId="41" borderId="59" applyNumberFormat="0" applyAlignment="0" applyProtection="0"/>
    <xf numFmtId="0" fontId="44" fillId="54" borderId="44" applyNumberFormat="0" applyAlignment="0" applyProtection="0"/>
    <xf numFmtId="0" fontId="61" fillId="41" borderId="56" applyNumberFormat="0" applyAlignment="0" applyProtection="0"/>
    <xf numFmtId="0" fontId="37" fillId="58" borderId="39" applyNumberFormat="0" applyFont="0" applyAlignment="0" applyProtection="0"/>
    <xf numFmtId="0" fontId="67" fillId="54" borderId="37" applyNumberFormat="0" applyAlignment="0" applyProtection="0"/>
    <xf numFmtId="0" fontId="67" fillId="54" borderId="49" applyNumberFormat="0" applyAlignment="0" applyProtection="0"/>
    <xf numFmtId="0" fontId="37" fillId="58" borderId="51" applyNumberFormat="0" applyFont="0" applyAlignment="0" applyProtection="0"/>
    <xf numFmtId="0" fontId="67" fillId="54" borderId="41" applyNumberFormat="0" applyAlignment="0" applyProtection="0"/>
    <xf numFmtId="0" fontId="61" fillId="41" borderId="48" applyNumberFormat="0" applyAlignment="0" applyProtection="0"/>
    <xf numFmtId="0" fontId="44" fillId="54" borderId="52" applyNumberFormat="0" applyAlignment="0" applyProtection="0"/>
    <xf numFmtId="0" fontId="77" fillId="0" borderId="50" applyNumberFormat="0" applyFill="0" applyAlignment="0" applyProtection="0"/>
    <xf numFmtId="0" fontId="67" fillId="54" borderId="41" applyNumberFormat="0" applyAlignment="0" applyProtection="0"/>
    <xf numFmtId="0" fontId="44" fillId="54" borderId="52" applyNumberFormat="0" applyAlignment="0" applyProtection="0"/>
    <xf numFmtId="0" fontId="37" fillId="58" borderId="51" applyNumberFormat="0" applyFont="0" applyAlignment="0" applyProtection="0"/>
    <xf numFmtId="0" fontId="61" fillId="41" borderId="40" applyNumberFormat="0" applyAlignment="0" applyProtection="0"/>
    <xf numFmtId="0" fontId="44" fillId="54" borderId="59" applyNumberFormat="0" applyAlignment="0" applyProtection="0"/>
    <xf numFmtId="0" fontId="67" fillId="54" borderId="37" applyNumberFormat="0" applyAlignment="0" applyProtection="0"/>
    <xf numFmtId="0" fontId="67" fillId="54" borderId="37" applyNumberFormat="0" applyAlignment="0" applyProtection="0"/>
    <xf numFmtId="9" fontId="32" fillId="0" borderId="0" applyFont="0" applyFill="0" applyBorder="0" applyAlignment="0" applyProtection="0"/>
    <xf numFmtId="0" fontId="61" fillId="41" borderId="56" applyNumberFormat="0" applyAlignment="0" applyProtection="0"/>
    <xf numFmtId="0" fontId="67" fillId="54" borderId="41" applyNumberFormat="0" applyAlignment="0" applyProtection="0"/>
    <xf numFmtId="0" fontId="44" fillId="54" borderId="36" applyNumberFormat="0" applyAlignment="0" applyProtection="0"/>
    <xf numFmtId="0" fontId="61" fillId="41" borderId="59" applyNumberFormat="0" applyAlignment="0" applyProtection="0"/>
    <xf numFmtId="0" fontId="61" fillId="41" borderId="52" applyNumberFormat="0" applyAlignment="0" applyProtection="0"/>
    <xf numFmtId="0" fontId="61" fillId="41" borderId="52" applyNumberFormat="0" applyAlignment="0" applyProtection="0"/>
    <xf numFmtId="0" fontId="61" fillId="41" borderId="36" applyNumberFormat="0" applyAlignment="0" applyProtection="0"/>
    <xf numFmtId="0" fontId="67" fillId="54" borderId="53" applyNumberFormat="0" applyAlignment="0" applyProtection="0"/>
    <xf numFmtId="0" fontId="44" fillId="54" borderId="36" applyNumberFormat="0" applyAlignment="0" applyProtection="0"/>
    <xf numFmtId="0" fontId="44" fillId="54" borderId="44" applyNumberFormat="0" applyAlignment="0" applyProtection="0"/>
    <xf numFmtId="0" fontId="37" fillId="58" borderId="35" applyNumberFormat="0" applyFont="0" applyAlignment="0" applyProtection="0"/>
    <xf numFmtId="0" fontId="44" fillId="54" borderId="44" applyNumberFormat="0" applyAlignment="0" applyProtection="0"/>
    <xf numFmtId="0" fontId="44" fillId="54" borderId="48" applyNumberFormat="0" applyAlignment="0" applyProtection="0"/>
    <xf numFmtId="0" fontId="61" fillId="41" borderId="40"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48" applyNumberFormat="0" applyAlignment="0" applyProtection="0"/>
    <xf numFmtId="0" fontId="61" fillId="41" borderId="44" applyNumberFormat="0" applyAlignment="0" applyProtection="0"/>
    <xf numFmtId="0" fontId="44" fillId="54" borderId="48" applyNumberFormat="0" applyAlignment="0" applyProtection="0"/>
    <xf numFmtId="0" fontId="37" fillId="58" borderId="47" applyNumberFormat="0" applyFont="0" applyAlignment="0" applyProtection="0"/>
    <xf numFmtId="0" fontId="37" fillId="58" borderId="47" applyNumberFormat="0" applyFont="0" applyAlignment="0" applyProtection="0"/>
    <xf numFmtId="0" fontId="61" fillId="41" borderId="44" applyNumberFormat="0" applyAlignment="0" applyProtection="0"/>
    <xf numFmtId="0" fontId="61" fillId="41" borderId="44" applyNumberFormat="0" applyAlignment="0" applyProtection="0"/>
    <xf numFmtId="0" fontId="61" fillId="41" borderId="59" applyNumberFormat="0" applyAlignment="0" applyProtection="0"/>
    <xf numFmtId="0" fontId="61" fillId="41" borderId="44" applyNumberFormat="0" applyAlignment="0" applyProtection="0"/>
    <xf numFmtId="0" fontId="61" fillId="41" borderId="36" applyNumberFormat="0" applyAlignment="0" applyProtection="0"/>
    <xf numFmtId="0" fontId="44" fillId="54" borderId="36" applyNumberFormat="0" applyAlignment="0" applyProtection="0"/>
    <xf numFmtId="0" fontId="77" fillId="0" borderId="38" applyNumberFormat="0" applyFill="0" applyAlignment="0" applyProtection="0"/>
    <xf numFmtId="0" fontId="61" fillId="41" borderId="44" applyNumberFormat="0" applyAlignment="0" applyProtection="0"/>
    <xf numFmtId="0" fontId="44" fillId="54" borderId="40" applyNumberFormat="0" applyAlignment="0" applyProtection="0"/>
    <xf numFmtId="0" fontId="61" fillId="41" borderId="40" applyNumberFormat="0" applyAlignment="0" applyProtection="0"/>
    <xf numFmtId="0" fontId="67" fillId="54" borderId="45" applyNumberFormat="0" applyAlignment="0" applyProtection="0"/>
    <xf numFmtId="0" fontId="37" fillId="58" borderId="39" applyNumberFormat="0" applyFont="0" applyAlignment="0" applyProtection="0"/>
    <xf numFmtId="0" fontId="61" fillId="41" borderId="52" applyNumberFormat="0" applyAlignment="0" applyProtection="0"/>
    <xf numFmtId="0" fontId="44" fillId="54" borderId="44" applyNumberFormat="0" applyAlignment="0" applyProtection="0"/>
    <xf numFmtId="0" fontId="61" fillId="41" borderId="48" applyNumberFormat="0" applyAlignment="0" applyProtection="0"/>
    <xf numFmtId="9" fontId="32" fillId="0" borderId="0" applyFont="0" applyFill="0" applyBorder="0" applyAlignment="0" applyProtection="0"/>
    <xf numFmtId="0" fontId="44" fillId="54" borderId="40" applyNumberFormat="0" applyAlignment="0" applyProtection="0"/>
    <xf numFmtId="0" fontId="44" fillId="54" borderId="59" applyNumberFormat="0" applyAlignment="0" applyProtection="0"/>
    <xf numFmtId="0" fontId="44" fillId="54" borderId="48" applyNumberFormat="0" applyAlignment="0" applyProtection="0"/>
    <xf numFmtId="0" fontId="67" fillId="54" borderId="37" applyNumberFormat="0" applyAlignment="0" applyProtection="0"/>
    <xf numFmtId="0" fontId="44" fillId="54" borderId="36" applyNumberFormat="0" applyAlignment="0" applyProtection="0"/>
    <xf numFmtId="0" fontId="61" fillId="41" borderId="36" applyNumberFormat="0" applyAlignment="0" applyProtection="0"/>
    <xf numFmtId="0" fontId="61" fillId="41" borderId="44" applyNumberFormat="0" applyAlignment="0" applyProtection="0"/>
    <xf numFmtId="0" fontId="44" fillId="54" borderId="48" applyNumberFormat="0" applyAlignment="0" applyProtection="0"/>
    <xf numFmtId="0" fontId="61" fillId="41" borderId="56" applyNumberFormat="0" applyAlignment="0" applyProtection="0"/>
    <xf numFmtId="0" fontId="67" fillId="54" borderId="41" applyNumberFormat="0" applyAlignment="0" applyProtection="0"/>
    <xf numFmtId="0" fontId="37" fillId="58" borderId="47" applyNumberFormat="0" applyFont="0" applyAlignment="0" applyProtection="0"/>
    <xf numFmtId="0" fontId="44" fillId="54" borderId="48" applyNumberFormat="0" applyAlignment="0" applyProtection="0"/>
    <xf numFmtId="0" fontId="61" fillId="41" borderId="56" applyNumberFormat="0" applyAlignment="0" applyProtection="0"/>
    <xf numFmtId="0" fontId="44" fillId="54" borderId="48" applyNumberFormat="0" applyAlignment="0" applyProtection="0"/>
    <xf numFmtId="0" fontId="61" fillId="41" borderId="40" applyNumberFormat="0" applyAlignment="0" applyProtection="0"/>
    <xf numFmtId="0" fontId="44" fillId="54" borderId="48" applyNumberFormat="0" applyAlignment="0" applyProtection="0"/>
    <xf numFmtId="0" fontId="44" fillId="54" borderId="44" applyNumberFormat="0" applyAlignment="0" applyProtection="0"/>
    <xf numFmtId="0" fontId="61" fillId="41" borderId="52" applyNumberFormat="0" applyAlignment="0" applyProtection="0"/>
    <xf numFmtId="0" fontId="37" fillId="58" borderId="51" applyNumberFormat="0" applyFont="0" applyAlignment="0" applyProtection="0"/>
    <xf numFmtId="0" fontId="44" fillId="54" borderId="48" applyNumberFormat="0" applyAlignment="0" applyProtection="0"/>
    <xf numFmtId="0" fontId="37" fillId="58" borderId="35" applyNumberFormat="0" applyFont="0" applyAlignment="0" applyProtection="0"/>
    <xf numFmtId="0" fontId="61" fillId="41" borderId="44" applyNumberFormat="0" applyAlignment="0" applyProtection="0"/>
    <xf numFmtId="0" fontId="37" fillId="58" borderId="39" applyNumberFormat="0" applyFont="0" applyAlignment="0" applyProtection="0"/>
    <xf numFmtId="0" fontId="37" fillId="58" borderId="35" applyNumberFormat="0" applyFont="0" applyAlignment="0" applyProtection="0"/>
    <xf numFmtId="0" fontId="37" fillId="58" borderId="35" applyNumberFormat="0" applyFont="0" applyAlignment="0" applyProtection="0"/>
    <xf numFmtId="0" fontId="67" fillId="54" borderId="53" applyNumberFormat="0" applyAlignment="0" applyProtection="0"/>
    <xf numFmtId="0" fontId="37" fillId="58" borderId="47" applyNumberFormat="0" applyFont="0" applyAlignment="0" applyProtection="0"/>
    <xf numFmtId="0" fontId="61" fillId="41" borderId="48" applyNumberFormat="0" applyAlignment="0" applyProtection="0"/>
    <xf numFmtId="0" fontId="37" fillId="58" borderId="39" applyNumberFormat="0" applyFont="0" applyAlignment="0" applyProtection="0"/>
    <xf numFmtId="0" fontId="37" fillId="58" borderId="58" applyNumberFormat="0" applyFont="0" applyAlignment="0" applyProtection="0"/>
    <xf numFmtId="0" fontId="44" fillId="54" borderId="52" applyNumberFormat="0" applyAlignment="0" applyProtection="0"/>
    <xf numFmtId="0" fontId="44" fillId="54" borderId="40" applyNumberFormat="0" applyAlignment="0" applyProtection="0"/>
    <xf numFmtId="0" fontId="37" fillId="58" borderId="35" applyNumberFormat="0" applyFont="0" applyAlignment="0" applyProtection="0"/>
    <xf numFmtId="0" fontId="37" fillId="58" borderId="43" applyNumberFormat="0" applyFont="0" applyAlignment="0" applyProtection="0"/>
    <xf numFmtId="0" fontId="61" fillId="41" borderId="48" applyNumberFormat="0" applyAlignment="0" applyProtection="0"/>
    <xf numFmtId="0" fontId="61" fillId="41" borderId="59" applyNumberFormat="0" applyAlignment="0" applyProtection="0"/>
    <xf numFmtId="0" fontId="67" fillId="54" borderId="45" applyNumberFormat="0" applyAlignment="0" applyProtection="0"/>
    <xf numFmtId="0" fontId="44" fillId="54" borderId="40" applyNumberFormat="0" applyAlignment="0" applyProtection="0"/>
    <xf numFmtId="0" fontId="37" fillId="58" borderId="58" applyNumberFormat="0" applyFont="0" applyAlignment="0" applyProtection="0"/>
    <xf numFmtId="0" fontId="44" fillId="54" borderId="56" applyNumberFormat="0" applyAlignment="0" applyProtection="0"/>
    <xf numFmtId="0" fontId="44" fillId="54" borderId="36" applyNumberFormat="0" applyAlignment="0" applyProtection="0"/>
    <xf numFmtId="0" fontId="67" fillId="54" borderId="49" applyNumberFormat="0" applyAlignment="0" applyProtection="0"/>
    <xf numFmtId="0" fontId="37" fillId="58" borderId="43" applyNumberFormat="0" applyFont="0" applyAlignment="0" applyProtection="0"/>
    <xf numFmtId="0" fontId="61" fillId="41" borderId="36" applyNumberFormat="0" applyAlignment="0" applyProtection="0"/>
    <xf numFmtId="0" fontId="67" fillId="54" borderId="41" applyNumberFormat="0" applyAlignment="0" applyProtection="0"/>
    <xf numFmtId="0" fontId="37" fillId="58" borderId="35" applyNumberFormat="0" applyFont="0" applyAlignment="0" applyProtection="0"/>
    <xf numFmtId="0" fontId="44" fillId="54" borderId="40" applyNumberFormat="0" applyAlignment="0" applyProtection="0"/>
    <xf numFmtId="0" fontId="67" fillId="54" borderId="37" applyNumberFormat="0" applyAlignment="0" applyProtection="0"/>
    <xf numFmtId="0" fontId="61" fillId="41" borderId="36" applyNumberFormat="0" applyAlignment="0" applyProtection="0"/>
    <xf numFmtId="0" fontId="44" fillId="54" borderId="36" applyNumberFormat="0" applyAlignment="0" applyProtection="0"/>
    <xf numFmtId="43" fontId="8" fillId="0" borderId="0" applyFont="0" applyFill="0" applyBorder="0" applyAlignment="0" applyProtection="0"/>
    <xf numFmtId="0" fontId="61" fillId="41" borderId="36" applyNumberFormat="0" applyAlignment="0" applyProtection="0"/>
    <xf numFmtId="0" fontId="67" fillId="54" borderId="41" applyNumberFormat="0" applyAlignment="0" applyProtection="0"/>
    <xf numFmtId="0" fontId="44" fillId="54" borderId="36" applyNumberFormat="0" applyAlignment="0" applyProtection="0"/>
    <xf numFmtId="0" fontId="37" fillId="58" borderId="58" applyNumberFormat="0" applyFont="0" applyAlignment="0" applyProtection="0"/>
    <xf numFmtId="0" fontId="44" fillId="54" borderId="56" applyNumberFormat="0" applyAlignment="0" applyProtection="0"/>
    <xf numFmtId="0" fontId="37" fillId="58" borderId="55" applyNumberFormat="0" applyFont="0" applyAlignment="0" applyProtection="0"/>
    <xf numFmtId="0" fontId="44" fillId="54" borderId="56" applyNumberFormat="0" applyAlignment="0" applyProtection="0"/>
    <xf numFmtId="0" fontId="67" fillId="54" borderId="45" applyNumberFormat="0" applyAlignment="0" applyProtection="0"/>
    <xf numFmtId="0" fontId="61" fillId="41" borderId="36" applyNumberFormat="0" applyAlignment="0" applyProtection="0"/>
    <xf numFmtId="0" fontId="44" fillId="54" borderId="36" applyNumberFormat="0" applyAlignment="0" applyProtection="0"/>
    <xf numFmtId="0" fontId="67" fillId="54" borderId="49" applyNumberFormat="0" applyAlignment="0" applyProtection="0"/>
    <xf numFmtId="0" fontId="67" fillId="54" borderId="45" applyNumberFormat="0" applyAlignment="0" applyProtection="0"/>
    <xf numFmtId="0" fontId="61" fillId="41" borderId="56" applyNumberFormat="0" applyAlignment="0" applyProtection="0"/>
    <xf numFmtId="0" fontId="44" fillId="54" borderId="40" applyNumberFormat="0" applyAlignment="0" applyProtection="0"/>
    <xf numFmtId="0" fontId="61" fillId="41" borderId="48" applyNumberFormat="0" applyAlignment="0" applyProtection="0"/>
    <xf numFmtId="0" fontId="44" fillId="54" borderId="48" applyNumberFormat="0" applyAlignment="0" applyProtection="0"/>
    <xf numFmtId="0" fontId="32" fillId="0" borderId="0"/>
    <xf numFmtId="0" fontId="44" fillId="54" borderId="40" applyNumberFormat="0" applyAlignment="0" applyProtection="0"/>
    <xf numFmtId="0" fontId="61" fillId="41" borderId="40" applyNumberFormat="0" applyAlignment="0" applyProtection="0"/>
    <xf numFmtId="0" fontId="37" fillId="58" borderId="35" applyNumberFormat="0" applyFont="0" applyAlignment="0" applyProtection="0"/>
    <xf numFmtId="0" fontId="61" fillId="41" borderId="48" applyNumberFormat="0" applyAlignment="0" applyProtection="0"/>
    <xf numFmtId="0" fontId="61" fillId="41" borderId="44" applyNumberFormat="0" applyAlignment="0" applyProtection="0"/>
    <xf numFmtId="0" fontId="67" fillId="54" borderId="60" applyNumberFormat="0" applyAlignment="0" applyProtection="0"/>
    <xf numFmtId="0" fontId="37" fillId="58" borderId="51" applyNumberFormat="0" applyFont="0" applyAlignment="0" applyProtection="0"/>
    <xf numFmtId="0" fontId="44" fillId="54" borderId="48" applyNumberFormat="0" applyAlignment="0" applyProtection="0"/>
    <xf numFmtId="0" fontId="44" fillId="54" borderId="52" applyNumberFormat="0" applyAlignment="0" applyProtection="0"/>
    <xf numFmtId="0" fontId="61" fillId="41" borderId="52" applyNumberFormat="0" applyAlignment="0" applyProtection="0"/>
    <xf numFmtId="0" fontId="61" fillId="41" borderId="40" applyNumberFormat="0" applyAlignment="0" applyProtection="0"/>
    <xf numFmtId="0" fontId="61" fillId="41" borderId="44" applyNumberFormat="0" applyAlignment="0" applyProtection="0"/>
    <xf numFmtId="0" fontId="61" fillId="41" borderId="40" applyNumberFormat="0" applyAlignment="0" applyProtection="0"/>
    <xf numFmtId="0" fontId="61" fillId="41" borderId="44" applyNumberFormat="0" applyAlignment="0" applyProtection="0"/>
    <xf numFmtId="0" fontId="67" fillId="54" borderId="60" applyNumberFormat="0" applyAlignment="0" applyProtection="0"/>
    <xf numFmtId="0" fontId="67" fillId="54" borderId="53" applyNumberFormat="0" applyAlignment="0" applyProtection="0"/>
    <xf numFmtId="0" fontId="44" fillId="54" borderId="56" applyNumberFormat="0" applyAlignment="0" applyProtection="0"/>
    <xf numFmtId="0" fontId="37" fillId="58" borderId="47" applyNumberFormat="0" applyFont="0" applyAlignment="0" applyProtection="0"/>
    <xf numFmtId="0" fontId="67" fillId="54" borderId="37" applyNumberFormat="0" applyAlignment="0" applyProtection="0"/>
    <xf numFmtId="0" fontId="44" fillId="54" borderId="44" applyNumberFormat="0" applyAlignment="0" applyProtection="0"/>
    <xf numFmtId="0" fontId="44" fillId="54" borderId="40" applyNumberFormat="0" applyAlignment="0" applyProtection="0"/>
    <xf numFmtId="0" fontId="61" fillId="41" borderId="36" applyNumberFormat="0" applyAlignment="0" applyProtection="0"/>
    <xf numFmtId="0" fontId="37" fillId="58" borderId="39" applyNumberFormat="0" applyFont="0" applyAlignment="0" applyProtection="0"/>
    <xf numFmtId="0" fontId="44" fillId="54" borderId="40" applyNumberFormat="0" applyAlignment="0" applyProtection="0"/>
    <xf numFmtId="0" fontId="44" fillId="54" borderId="56" applyNumberFormat="0" applyAlignment="0" applyProtection="0"/>
    <xf numFmtId="0" fontId="77" fillId="0" borderId="42" applyNumberFormat="0" applyFill="0" applyAlignment="0" applyProtection="0"/>
    <xf numFmtId="0" fontId="37" fillId="58" borderId="43" applyNumberFormat="0" applyFont="0" applyAlignment="0" applyProtection="0"/>
    <xf numFmtId="0" fontId="44" fillId="54" borderId="36" applyNumberFormat="0" applyAlignment="0" applyProtection="0"/>
    <xf numFmtId="0" fontId="61" fillId="41" borderId="36" applyNumberFormat="0" applyAlignment="0" applyProtection="0"/>
    <xf numFmtId="0" fontId="61" fillId="41" borderId="36" applyNumberFormat="0" applyAlignment="0" applyProtection="0"/>
    <xf numFmtId="0" fontId="61" fillId="41" borderId="48" applyNumberFormat="0" applyAlignment="0" applyProtection="0"/>
    <xf numFmtId="0" fontId="67" fillId="54" borderId="53" applyNumberFormat="0" applyAlignment="0" applyProtection="0"/>
    <xf numFmtId="0" fontId="44" fillId="54" borderId="36" applyNumberFormat="0" applyAlignment="0" applyProtection="0"/>
    <xf numFmtId="0" fontId="67" fillId="54" borderId="37" applyNumberFormat="0" applyAlignment="0" applyProtection="0"/>
    <xf numFmtId="0" fontId="61" fillId="41" borderId="56" applyNumberFormat="0" applyAlignment="0" applyProtection="0"/>
    <xf numFmtId="0" fontId="67" fillId="54" borderId="53" applyNumberFormat="0" applyAlignment="0" applyProtection="0"/>
    <xf numFmtId="0" fontId="44" fillId="54" borderId="44" applyNumberFormat="0" applyAlignment="0" applyProtection="0"/>
    <xf numFmtId="0" fontId="37" fillId="58" borderId="43" applyNumberFormat="0" applyFont="0" applyAlignment="0" applyProtection="0"/>
    <xf numFmtId="0" fontId="61" fillId="41" borderId="59" applyNumberFormat="0" applyAlignment="0" applyProtection="0"/>
    <xf numFmtId="0" fontId="67" fillId="54" borderId="49" applyNumberFormat="0" applyAlignment="0" applyProtection="0"/>
    <xf numFmtId="0" fontId="67" fillId="54" borderId="45" applyNumberFormat="0" applyAlignment="0" applyProtection="0"/>
    <xf numFmtId="0" fontId="61" fillId="41" borderId="40" applyNumberFormat="0" applyAlignment="0" applyProtection="0"/>
    <xf numFmtId="0" fontId="67" fillId="54" borderId="45" applyNumberFormat="0" applyAlignment="0" applyProtection="0"/>
    <xf numFmtId="0" fontId="37" fillId="58" borderId="55" applyNumberFormat="0" applyFont="0" applyAlignment="0" applyProtection="0"/>
    <xf numFmtId="0" fontId="37" fillId="58" borderId="39" applyNumberFormat="0" applyFont="0" applyAlignment="0" applyProtection="0"/>
    <xf numFmtId="0" fontId="67" fillId="54" borderId="60" applyNumberFormat="0" applyAlignment="0" applyProtection="0"/>
    <xf numFmtId="0" fontId="44" fillId="54" borderId="36" applyNumberFormat="0" applyAlignment="0" applyProtection="0"/>
    <xf numFmtId="0" fontId="67" fillId="54" borderId="60" applyNumberFormat="0" applyAlignment="0" applyProtection="0"/>
    <xf numFmtId="0" fontId="44" fillId="54" borderId="44" applyNumberFormat="0" applyAlignment="0" applyProtection="0"/>
    <xf numFmtId="0" fontId="37" fillId="58" borderId="51" applyNumberFormat="0" applyFont="0" applyAlignment="0" applyProtection="0"/>
    <xf numFmtId="0" fontId="44" fillId="54" borderId="52" applyNumberFormat="0" applyAlignment="0" applyProtection="0"/>
    <xf numFmtId="0" fontId="61" fillId="41" borderId="52" applyNumberFormat="0" applyAlignment="0" applyProtection="0"/>
    <xf numFmtId="0" fontId="44" fillId="54" borderId="52" applyNumberFormat="0" applyAlignment="0" applyProtection="0"/>
    <xf numFmtId="0" fontId="44" fillId="54" borderId="36" applyNumberFormat="0" applyAlignment="0" applyProtection="0"/>
    <xf numFmtId="0" fontId="44" fillId="54" borderId="40" applyNumberFormat="0" applyAlignment="0" applyProtection="0"/>
    <xf numFmtId="0" fontId="44" fillId="54" borderId="59" applyNumberFormat="0" applyAlignment="0" applyProtection="0"/>
    <xf numFmtId="0" fontId="61" fillId="41" borderId="40" applyNumberFormat="0" applyAlignment="0" applyProtection="0"/>
    <xf numFmtId="0" fontId="61" fillId="41" borderId="59" applyNumberFormat="0" applyAlignment="0" applyProtection="0"/>
    <xf numFmtId="0" fontId="67" fillId="54" borderId="37" applyNumberFormat="0" applyAlignment="0" applyProtection="0"/>
    <xf numFmtId="0" fontId="44" fillId="54" borderId="44" applyNumberFormat="0" applyAlignment="0" applyProtection="0"/>
    <xf numFmtId="0" fontId="44" fillId="54" borderId="59" applyNumberFormat="0" applyAlignment="0" applyProtection="0"/>
    <xf numFmtId="0" fontId="37" fillId="58" borderId="43" applyNumberFormat="0" applyFont="0" applyAlignment="0" applyProtection="0"/>
    <xf numFmtId="0" fontId="37" fillId="58" borderId="35" applyNumberFormat="0" applyFont="0" applyAlignment="0" applyProtection="0"/>
    <xf numFmtId="0" fontId="61" fillId="41" borderId="40" applyNumberFormat="0" applyAlignment="0" applyProtection="0"/>
    <xf numFmtId="0" fontId="77" fillId="0" borderId="34" applyNumberFormat="0" applyFill="0" applyAlignment="0" applyProtection="0"/>
    <xf numFmtId="0" fontId="44" fillId="54" borderId="52" applyNumberFormat="0" applyAlignment="0" applyProtection="0"/>
    <xf numFmtId="0" fontId="61" fillId="41" borderId="44" applyNumberFormat="0" applyAlignment="0" applyProtection="0"/>
    <xf numFmtId="0" fontId="67" fillId="54" borderId="41" applyNumberFormat="0" applyAlignment="0" applyProtection="0"/>
    <xf numFmtId="0" fontId="37" fillId="58" borderId="39" applyNumberFormat="0" applyFont="0" applyAlignment="0" applyProtection="0"/>
    <xf numFmtId="0" fontId="61" fillId="41" borderId="44" applyNumberFormat="0" applyAlignment="0" applyProtection="0"/>
    <xf numFmtId="0" fontId="77" fillId="0" borderId="38" applyNumberFormat="0" applyFill="0" applyAlignment="0" applyProtection="0"/>
    <xf numFmtId="0" fontId="44" fillId="54" borderId="56" applyNumberFormat="0" applyAlignment="0" applyProtection="0"/>
    <xf numFmtId="0" fontId="61" fillId="41" borderId="56" applyNumberFormat="0" applyAlignment="0" applyProtection="0"/>
    <xf numFmtId="0" fontId="44" fillId="54" borderId="56" applyNumberFormat="0" applyAlignment="0" applyProtection="0"/>
    <xf numFmtId="0" fontId="44" fillId="54" borderId="52" applyNumberFormat="0" applyAlignment="0" applyProtection="0"/>
    <xf numFmtId="0" fontId="44" fillId="54" borderId="44" applyNumberFormat="0" applyAlignment="0" applyProtection="0"/>
    <xf numFmtId="0" fontId="44" fillId="54" borderId="48" applyNumberFormat="0" applyAlignment="0" applyProtection="0"/>
    <xf numFmtId="0" fontId="61" fillId="41" borderId="48" applyNumberFormat="0" applyAlignment="0" applyProtection="0"/>
    <xf numFmtId="0" fontId="44" fillId="54" borderId="52" applyNumberFormat="0" applyAlignment="0" applyProtection="0"/>
    <xf numFmtId="0" fontId="37" fillId="58" borderId="58" applyNumberFormat="0" applyFont="0" applyAlignment="0" applyProtection="0"/>
    <xf numFmtId="0" fontId="37" fillId="58" borderId="43" applyNumberFormat="0" applyFont="0" applyAlignment="0" applyProtection="0"/>
    <xf numFmtId="0" fontId="44" fillId="54" borderId="44" applyNumberFormat="0" applyAlignment="0" applyProtection="0"/>
    <xf numFmtId="0" fontId="61" fillId="41" borderId="48" applyNumberFormat="0" applyAlignment="0" applyProtection="0"/>
    <xf numFmtId="0" fontId="61" fillId="41" borderId="56" applyNumberFormat="0" applyAlignment="0" applyProtection="0"/>
    <xf numFmtId="0" fontId="77" fillId="0" borderId="50" applyNumberFormat="0" applyFill="0" applyAlignment="0" applyProtection="0"/>
    <xf numFmtId="0" fontId="44" fillId="54" borderId="44" applyNumberFormat="0" applyAlignment="0" applyProtection="0"/>
    <xf numFmtId="0" fontId="44" fillId="54" borderId="56" applyNumberFormat="0" applyAlignment="0" applyProtection="0"/>
    <xf numFmtId="0" fontId="44" fillId="54" borderId="52" applyNumberFormat="0" applyAlignment="0" applyProtection="0"/>
    <xf numFmtId="0" fontId="67" fillId="54" borderId="45" applyNumberFormat="0" applyAlignment="0" applyProtection="0"/>
    <xf numFmtId="0" fontId="44" fillId="54" borderId="48" applyNumberFormat="0" applyAlignment="0" applyProtection="0"/>
    <xf numFmtId="0" fontId="67" fillId="54" borderId="45" applyNumberFormat="0" applyAlignment="0" applyProtection="0"/>
    <xf numFmtId="0" fontId="37" fillId="58" borderId="43" applyNumberFormat="0" applyFont="0" applyAlignment="0" applyProtection="0"/>
    <xf numFmtId="0" fontId="77" fillId="0" borderId="42" applyNumberFormat="0" applyFill="0" applyAlignment="0" applyProtection="0"/>
    <xf numFmtId="0" fontId="61" fillId="41" borderId="59" applyNumberFormat="0" applyAlignment="0" applyProtection="0"/>
    <xf numFmtId="0" fontId="77" fillId="0" borderId="46" applyNumberFormat="0" applyFill="0" applyAlignment="0" applyProtection="0"/>
    <xf numFmtId="0" fontId="61" fillId="41" borderId="52" applyNumberFormat="0" applyAlignment="0" applyProtection="0"/>
    <xf numFmtId="0" fontId="77" fillId="0" borderId="46" applyNumberFormat="0" applyFill="0" applyAlignment="0" applyProtection="0"/>
    <xf numFmtId="0" fontId="37" fillId="58" borderId="47" applyNumberFormat="0" applyFont="0" applyAlignment="0" applyProtection="0"/>
    <xf numFmtId="0" fontId="67" fillId="54" borderId="53" applyNumberFormat="0" applyAlignment="0" applyProtection="0"/>
    <xf numFmtId="0" fontId="67" fillId="54" borderId="49" applyNumberFormat="0" applyAlignment="0" applyProtection="0"/>
    <xf numFmtId="0" fontId="61" fillId="41" borderId="59" applyNumberFormat="0" applyAlignment="0" applyProtection="0"/>
    <xf numFmtId="0" fontId="37" fillId="58" borderId="58" applyNumberFormat="0" applyFont="0" applyAlignment="0" applyProtection="0"/>
    <xf numFmtId="0" fontId="67" fillId="54" borderId="49" applyNumberFormat="0" applyAlignment="0" applyProtection="0"/>
    <xf numFmtId="0" fontId="37" fillId="58" borderId="47" applyNumberFormat="0" applyFont="0" applyAlignment="0" applyProtection="0"/>
    <xf numFmtId="0" fontId="44" fillId="54" borderId="59" applyNumberFormat="0" applyAlignment="0" applyProtection="0"/>
    <xf numFmtId="0" fontId="61" fillId="41" borderId="52" applyNumberFormat="0" applyAlignment="0" applyProtection="0"/>
    <xf numFmtId="0" fontId="67" fillId="54" borderId="49" applyNumberFormat="0" applyAlignment="0" applyProtection="0"/>
    <xf numFmtId="0" fontId="37" fillId="58" borderId="58" applyNumberFormat="0" applyFont="0" applyAlignment="0" applyProtection="0"/>
    <xf numFmtId="0" fontId="44" fillId="54" borderId="56" applyNumberFormat="0" applyAlignment="0" applyProtection="0"/>
    <xf numFmtId="0" fontId="61" fillId="41" borderId="52" applyNumberFormat="0" applyAlignment="0" applyProtection="0"/>
    <xf numFmtId="0" fontId="67" fillId="54" borderId="60" applyNumberFormat="0" applyAlignment="0" applyProtection="0"/>
    <xf numFmtId="0" fontId="61" fillId="41" borderId="48" applyNumberFormat="0" applyAlignment="0" applyProtection="0"/>
    <xf numFmtId="0" fontId="67" fillId="54" borderId="53" applyNumberFormat="0" applyAlignment="0" applyProtection="0"/>
    <xf numFmtId="0" fontId="44" fillId="54" borderId="56" applyNumberFormat="0" applyAlignment="0" applyProtection="0"/>
    <xf numFmtId="0" fontId="61" fillId="41" borderId="52" applyNumberFormat="0" applyAlignment="0" applyProtection="0"/>
    <xf numFmtId="0" fontId="37" fillId="58" borderId="51" applyNumberFormat="0" applyFont="0" applyAlignment="0" applyProtection="0"/>
    <xf numFmtId="0" fontId="44" fillId="54" borderId="52" applyNumberFormat="0" applyAlignment="0" applyProtection="0"/>
    <xf numFmtId="0" fontId="44" fillId="54" borderId="52" applyNumberFormat="0" applyAlignment="0" applyProtection="0"/>
    <xf numFmtId="0" fontId="37" fillId="58" borderId="55" applyNumberFormat="0" applyFont="0" applyAlignment="0" applyProtection="0"/>
    <xf numFmtId="0" fontId="67" fillId="54" borderId="60" applyNumberFormat="0" applyAlignment="0" applyProtection="0"/>
    <xf numFmtId="0" fontId="77" fillId="0" borderId="54" applyNumberFormat="0" applyFill="0" applyAlignment="0" applyProtection="0"/>
    <xf numFmtId="0" fontId="37" fillId="58" borderId="47" applyNumberFormat="0" applyFont="0" applyAlignment="0" applyProtection="0"/>
    <xf numFmtId="0" fontId="67" fillId="54" borderId="53" applyNumberFormat="0" applyAlignment="0" applyProtection="0"/>
    <xf numFmtId="0" fontId="61" fillId="41" borderId="52" applyNumberFormat="0" applyAlignment="0" applyProtection="0"/>
    <xf numFmtId="0" fontId="44" fillId="54" borderId="59" applyNumberFormat="0" applyAlignment="0" applyProtection="0"/>
    <xf numFmtId="0" fontId="77" fillId="0" borderId="57" applyNumberFormat="0" applyFill="0" applyAlignment="0" applyProtection="0"/>
    <xf numFmtId="0" fontId="37" fillId="58" borderId="55" applyNumberFormat="0" applyFont="0" applyAlignment="0" applyProtection="0"/>
    <xf numFmtId="0" fontId="61" fillId="41" borderId="56" applyNumberFormat="0" applyAlignment="0" applyProtection="0"/>
    <xf numFmtId="0" fontId="44" fillId="54" borderId="59" applyNumberFormat="0" applyAlignment="0" applyProtection="0"/>
    <xf numFmtId="0" fontId="61" fillId="41" borderId="59" applyNumberFormat="0" applyAlignment="0" applyProtection="0"/>
    <xf numFmtId="0" fontId="37" fillId="58" borderId="55" applyNumberFormat="0" applyFont="0" applyAlignment="0" applyProtection="0"/>
    <xf numFmtId="0" fontId="77" fillId="0" borderId="54" applyNumberFormat="0" applyFill="0" applyAlignment="0" applyProtection="0"/>
    <xf numFmtId="0" fontId="44" fillId="54" borderId="59" applyNumberFormat="0" applyAlignment="0" applyProtection="0"/>
    <xf numFmtId="0" fontId="77" fillId="0" borderId="57" applyNumberFormat="0" applyFill="0" applyAlignment="0" applyProtection="0"/>
    <xf numFmtId="0" fontId="61" fillId="41" borderId="56" applyNumberFormat="0" applyAlignment="0" applyProtection="0"/>
    <xf numFmtId="0" fontId="44" fillId="54" borderId="56" applyNumberFormat="0" applyAlignment="0" applyProtection="0"/>
    <xf numFmtId="0" fontId="44" fillId="54" borderId="59" applyNumberFormat="0" applyAlignment="0" applyProtection="0"/>
    <xf numFmtId="0" fontId="37" fillId="58" borderId="55" applyNumberFormat="0" applyFont="0" applyAlignment="0" applyProtection="0"/>
    <xf numFmtId="0" fontId="61" fillId="41" borderId="59" applyNumberFormat="0" applyAlignment="0" applyProtection="0"/>
    <xf numFmtId="0" fontId="44" fillId="54" borderId="59" applyNumberFormat="0" applyAlignment="0" applyProtection="0"/>
    <xf numFmtId="0" fontId="44" fillId="54" borderId="59" applyNumberFormat="0" applyAlignment="0" applyProtection="0"/>
    <xf numFmtId="0" fontId="44" fillId="54" borderId="59" applyNumberFormat="0" applyAlignment="0" applyProtection="0"/>
    <xf numFmtId="0" fontId="67" fillId="54" borderId="60" applyNumberFormat="0" applyAlignment="0" applyProtection="0"/>
    <xf numFmtId="0" fontId="61" fillId="41" borderId="59" applyNumberFormat="0" applyAlignment="0" applyProtection="0"/>
    <xf numFmtId="0" fontId="37" fillId="58" borderId="58" applyNumberFormat="0" applyFont="0" applyAlignment="0" applyProtection="0"/>
    <xf numFmtId="0" fontId="37" fillId="58" borderId="58" applyNumberFormat="0" applyFont="0" applyAlignment="0" applyProtection="0"/>
    <xf numFmtId="0" fontId="77" fillId="0" borderId="61" applyNumberFormat="0" applyFill="0" applyAlignment="0" applyProtection="0"/>
    <xf numFmtId="0" fontId="6" fillId="0" borderId="0"/>
    <xf numFmtId="0" fontId="81" fillId="0" borderId="0" applyNumberFormat="0" applyFill="0" applyBorder="0" applyAlignment="0" applyProtection="0"/>
    <xf numFmtId="0" fontId="5" fillId="0" borderId="0"/>
    <xf numFmtId="43" fontId="5" fillId="0" borderId="0" applyFont="0" applyFill="0" applyBorder="0" applyAlignment="0" applyProtection="0"/>
    <xf numFmtId="9" fontId="5" fillId="0" borderId="0" applyFont="0" applyFill="0" applyBorder="0" applyAlignment="0" applyProtection="0"/>
    <xf numFmtId="9"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5" fillId="0" borderId="0"/>
    <xf numFmtId="0" fontId="98" fillId="0" borderId="0"/>
    <xf numFmtId="189" fontId="98" fillId="0" borderId="0" applyFont="0" applyFill="0" applyBorder="0" applyAlignment="0" applyProtection="0"/>
    <xf numFmtId="9" fontId="98" fillId="0" borderId="0" applyFont="0" applyFill="0" applyBorder="0" applyAlignment="0" applyProtection="0"/>
    <xf numFmtId="190" fontId="98" fillId="0" borderId="0" applyFont="0" applyFill="0" applyBorder="0" applyAlignment="0" applyProtection="0"/>
    <xf numFmtId="190" fontId="98"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188" fontId="98" fillId="0" borderId="0" applyFont="0" applyBorder="0" applyProtection="0"/>
    <xf numFmtId="188" fontId="98" fillId="0" borderId="0" applyFont="0" applyBorder="0" applyProtection="0"/>
    <xf numFmtId="188" fontId="98" fillId="0" borderId="0" applyFont="0" applyBorder="0" applyProtection="0"/>
    <xf numFmtId="0" fontId="98" fillId="0" borderId="0" applyNumberFormat="0" applyFont="0" applyBorder="0" applyProtection="0"/>
    <xf numFmtId="0" fontId="98" fillId="0" borderId="0" applyNumberFormat="0" applyFont="0" applyBorder="0" applyProtection="0"/>
    <xf numFmtId="0" fontId="98" fillId="0" borderId="0" applyNumberFormat="0" applyFont="0" applyBorder="0" applyProtection="0"/>
    <xf numFmtId="0" fontId="98" fillId="0" borderId="0" applyNumberFormat="0" applyFont="0" applyBorder="0" applyProtection="0"/>
    <xf numFmtId="0" fontId="98" fillId="0" borderId="0" applyNumberFormat="0" applyFont="0" applyBorder="0" applyProtection="0"/>
    <xf numFmtId="0" fontId="98" fillId="0" borderId="0" applyNumberFormat="0" applyFont="0" applyBorder="0" applyProtection="0"/>
    <xf numFmtId="0" fontId="98" fillId="0" borderId="0" applyNumberFormat="0" applyFont="0" applyBorder="0" applyProtection="0"/>
    <xf numFmtId="0" fontId="98" fillId="0" borderId="0" applyNumberFormat="0" applyFont="0" applyBorder="0" applyProtection="0"/>
    <xf numFmtId="0" fontId="98" fillId="0" borderId="0" applyNumberFormat="0" applyFont="0" applyBorder="0" applyProtection="0"/>
    <xf numFmtId="0" fontId="98" fillId="0" borderId="0" applyNumberFormat="0" applyFont="0" applyBorder="0" applyProtection="0"/>
    <xf numFmtId="0" fontId="98" fillId="0" borderId="0" applyNumberFormat="0" applyFont="0" applyBorder="0" applyProtection="0"/>
    <xf numFmtId="0" fontId="98" fillId="0" borderId="0" applyNumberFormat="0" applyFont="0" applyBorder="0" applyProtection="0"/>
    <xf numFmtId="0" fontId="100" fillId="0" borderId="0" applyNumberFormat="0" applyFill="0" applyBorder="0" applyProtection="0">
      <alignment horizontal="left" vertical="center"/>
    </xf>
    <xf numFmtId="0" fontId="98" fillId="64" borderId="0" applyNumberFormat="0" applyFont="0" applyBorder="0" applyAlignment="0" applyProtection="0"/>
    <xf numFmtId="0" fontId="98" fillId="64" borderId="0" applyNumberFormat="0" applyFont="0" applyBorder="0" applyAlignment="0" applyProtection="0"/>
    <xf numFmtId="0" fontId="98" fillId="64" borderId="0" applyNumberFormat="0" applyFont="0" applyBorder="0" applyAlignment="0" applyProtection="0"/>
    <xf numFmtId="0" fontId="2" fillId="0" borderId="0"/>
  </cellStyleXfs>
  <cellXfs count="772">
    <xf numFmtId="0" fontId="0" fillId="0" borderId="0" xfId="0"/>
    <xf numFmtId="0" fontId="0" fillId="0" borderId="0" xfId="0"/>
    <xf numFmtId="9" fontId="0" fillId="0" borderId="0" xfId="301" applyFont="1"/>
    <xf numFmtId="0" fontId="31" fillId="0" borderId="0" xfId="0" applyFont="1"/>
    <xf numFmtId="0" fontId="0" fillId="0" borderId="0" xfId="0" applyFont="1" applyAlignment="1">
      <alignment vertical="center"/>
    </xf>
    <xf numFmtId="0" fontId="0" fillId="2" borderId="0" xfId="0" applyFill="1"/>
    <xf numFmtId="0" fontId="0" fillId="2" borderId="0" xfId="0" applyFill="1" applyBorder="1"/>
    <xf numFmtId="0" fontId="19" fillId="2" borderId="0" xfId="0" applyFont="1" applyFill="1"/>
    <xf numFmtId="0" fontId="29" fillId="2" borderId="0" xfId="0" applyFont="1" applyFill="1"/>
    <xf numFmtId="167" fontId="0" fillId="2" borderId="0" xfId="300" applyNumberFormat="1" applyFont="1" applyFill="1" applyBorder="1"/>
    <xf numFmtId="0" fontId="0" fillId="2" borderId="1" xfId="0" applyFill="1" applyBorder="1"/>
    <xf numFmtId="0" fontId="34" fillId="2" borderId="0" xfId="0" applyFont="1" applyFill="1" applyBorder="1"/>
    <xf numFmtId="0" fontId="34" fillId="2" borderId="0" xfId="0" applyFont="1" applyFill="1"/>
    <xf numFmtId="0" fontId="0" fillId="2" borderId="11" xfId="0" applyFill="1" applyBorder="1"/>
    <xf numFmtId="0" fontId="21" fillId="2" borderId="0" xfId="0" applyFont="1" applyFill="1"/>
    <xf numFmtId="0" fontId="0" fillId="2" borderId="9" xfId="0" applyFill="1" applyBorder="1"/>
    <xf numFmtId="0" fontId="0" fillId="2" borderId="13" xfId="0" applyFill="1" applyBorder="1"/>
    <xf numFmtId="0" fontId="0" fillId="2" borderId="10" xfId="0" applyFill="1" applyBorder="1"/>
    <xf numFmtId="167" fontId="23" fillId="2" borderId="0" xfId="300" applyNumberFormat="1" applyFont="1" applyFill="1" applyBorder="1"/>
    <xf numFmtId="0" fontId="0" fillId="2" borderId="6" xfId="0" applyFill="1" applyBorder="1"/>
    <xf numFmtId="167" fontId="23" fillId="2" borderId="1" xfId="300" applyNumberFormat="1" applyFont="1" applyFill="1" applyBorder="1"/>
    <xf numFmtId="0" fontId="30" fillId="2" borderId="0" xfId="0" applyFont="1" applyFill="1"/>
    <xf numFmtId="38" fontId="0" fillId="62" borderId="15" xfId="0" applyNumberFormat="1" applyFill="1" applyBorder="1" applyAlignment="1">
      <alignment horizontal="center"/>
    </xf>
    <xf numFmtId="0" fontId="83" fillId="2" borderId="0" xfId="0" applyFont="1" applyFill="1" applyBorder="1"/>
    <xf numFmtId="0" fontId="17" fillId="6" borderId="7" xfId="0" applyFont="1" applyFill="1" applyBorder="1"/>
    <xf numFmtId="9" fontId="17" fillId="6" borderId="7" xfId="301" applyFont="1" applyFill="1" applyBorder="1" applyAlignment="1">
      <alignment horizontal="center" wrapText="1"/>
    </xf>
    <xf numFmtId="0" fontId="25" fillId="6" borderId="8" xfId="0" applyFont="1" applyFill="1" applyBorder="1" applyAlignment="1"/>
    <xf numFmtId="0" fontId="25" fillId="6" borderId="13" xfId="0" applyFont="1" applyFill="1" applyBorder="1" applyAlignment="1"/>
    <xf numFmtId="0" fontId="85" fillId="0" borderId="0" xfId="0" applyFont="1"/>
    <xf numFmtId="9" fontId="0" fillId="0" borderId="0" xfId="0" applyNumberFormat="1"/>
    <xf numFmtId="9" fontId="16" fillId="0" borderId="0" xfId="301"/>
    <xf numFmtId="0" fontId="86" fillId="0" borderId="63" xfId="0" applyFont="1" applyFill="1" applyBorder="1"/>
    <xf numFmtId="0" fontId="0" fillId="0" borderId="0" xfId="0" applyFill="1"/>
    <xf numFmtId="171" fontId="0" fillId="0" borderId="0" xfId="0" applyNumberFormat="1" applyFill="1"/>
    <xf numFmtId="165" fontId="0" fillId="0" borderId="0" xfId="0" applyNumberFormat="1" applyFill="1"/>
    <xf numFmtId="1" fontId="0" fillId="3" borderId="0" xfId="0" applyNumberFormat="1" applyFill="1"/>
    <xf numFmtId="172" fontId="17" fillId="6" borderId="8" xfId="8010" applyNumberFormat="1" applyFont="1" applyFill="1" applyBorder="1" applyAlignment="1">
      <alignment horizontal="center" wrapText="1"/>
    </xf>
    <xf numFmtId="0" fontId="25" fillId="6" borderId="7" xfId="0" applyFont="1" applyFill="1" applyBorder="1" applyAlignment="1"/>
    <xf numFmtId="9" fontId="0" fillId="62" borderId="7" xfId="301" applyFont="1" applyFill="1" applyBorder="1" applyAlignment="1">
      <alignment horizontal="right"/>
    </xf>
    <xf numFmtId="172" fontId="15" fillId="2" borderId="11" xfId="8010" applyNumberFormat="1" applyFont="1" applyFill="1" applyBorder="1"/>
    <xf numFmtId="0" fontId="25" fillId="6" borderId="15" xfId="0" applyFont="1" applyFill="1" applyBorder="1" applyAlignment="1"/>
    <xf numFmtId="167" fontId="23" fillId="2" borderId="9" xfId="300" applyNumberFormat="1" applyFont="1" applyFill="1" applyBorder="1"/>
    <xf numFmtId="0" fontId="0" fillId="3" borderId="1" xfId="0" applyFont="1" applyFill="1" applyBorder="1"/>
    <xf numFmtId="0" fontId="28" fillId="2" borderId="0" xfId="0" applyFont="1" applyFill="1"/>
    <xf numFmtId="166" fontId="0" fillId="0" borderId="0" xfId="300" applyNumberFormat="1" applyFont="1" applyFill="1"/>
    <xf numFmtId="166" fontId="0" fillId="3" borderId="0" xfId="300" applyNumberFormat="1" applyFont="1" applyFill="1"/>
    <xf numFmtId="0" fontId="25" fillId="6" borderId="10" xfId="0" applyFont="1" applyFill="1" applyBorder="1" applyAlignment="1"/>
    <xf numFmtId="0" fontId="25" fillId="6" borderId="9" xfId="0" applyFont="1" applyFill="1" applyBorder="1" applyAlignment="1"/>
    <xf numFmtId="38" fontId="0" fillId="2" borderId="10" xfId="0" applyNumberFormat="1" applyFill="1" applyBorder="1"/>
    <xf numFmtId="38" fontId="0" fillId="2" borderId="11" xfId="0" applyNumberFormat="1" applyFill="1" applyBorder="1"/>
    <xf numFmtId="38" fontId="0" fillId="2" borderId="6" xfId="0" applyNumberFormat="1" applyFill="1" applyBorder="1"/>
    <xf numFmtId="172" fontId="15" fillId="2" borderId="10" xfId="8010" applyNumberFormat="1" applyFont="1" applyFill="1" applyBorder="1"/>
    <xf numFmtId="172" fontId="15" fillId="2" borderId="6" xfId="8010" applyNumberFormat="1" applyFont="1" applyFill="1" applyBorder="1"/>
    <xf numFmtId="0" fontId="90" fillId="2" borderId="0" xfId="0" applyFont="1" applyFill="1"/>
    <xf numFmtId="0" fontId="0" fillId="3" borderId="9" xfId="0" applyFont="1" applyFill="1" applyBorder="1"/>
    <xf numFmtId="0" fontId="0" fillId="2" borderId="0" xfId="0" applyFont="1" applyFill="1"/>
    <xf numFmtId="0" fontId="92" fillId="2" borderId="0" xfId="0" applyFont="1" applyFill="1"/>
    <xf numFmtId="170" fontId="0" fillId="2" borderId="0" xfId="0" applyNumberFormat="1" applyFill="1"/>
    <xf numFmtId="38" fontId="0" fillId="62" borderId="6" xfId="0" applyNumberFormat="1" applyFill="1" applyBorder="1" applyAlignment="1">
      <alignment horizontal="center"/>
    </xf>
    <xf numFmtId="169" fontId="0" fillId="62" borderId="11" xfId="301" applyNumberFormat="1" applyFont="1" applyFill="1" applyBorder="1" applyAlignment="1">
      <alignment horizontal="right"/>
    </xf>
    <xf numFmtId="169" fontId="0" fillId="62" borderId="10" xfId="301" applyNumberFormat="1" applyFont="1" applyFill="1" applyBorder="1" applyAlignment="1">
      <alignment horizontal="right"/>
    </xf>
    <xf numFmtId="169" fontId="0" fillId="62" borderId="6" xfId="301" applyNumberFormat="1" applyFont="1" applyFill="1" applyBorder="1" applyAlignment="1">
      <alignment horizontal="right"/>
    </xf>
    <xf numFmtId="169" fontId="16" fillId="62" borderId="10" xfId="301" applyNumberFormat="1" applyFont="1" applyFill="1" applyBorder="1" applyAlignment="1">
      <alignment horizontal="right"/>
    </xf>
    <xf numFmtId="169" fontId="15" fillId="62" borderId="11" xfId="301" applyNumberFormat="1" applyFont="1" applyFill="1" applyBorder="1" applyAlignment="1">
      <alignment horizontal="right"/>
    </xf>
    <xf numFmtId="0" fontId="20" fillId="2" borderId="0" xfId="0" applyFont="1" applyFill="1"/>
    <xf numFmtId="0" fontId="0" fillId="2" borderId="0" xfId="0" applyFont="1" applyFill="1" applyBorder="1"/>
    <xf numFmtId="169" fontId="0" fillId="0" borderId="0" xfId="301" applyNumberFormat="1" applyFont="1"/>
    <xf numFmtId="165" fontId="0" fillId="0" borderId="0" xfId="0" applyNumberFormat="1"/>
    <xf numFmtId="0" fontId="0" fillId="0" borderId="8" xfId="0" applyBorder="1"/>
    <xf numFmtId="0" fontId="0" fillId="0" borderId="13" xfId="0" applyBorder="1"/>
    <xf numFmtId="9" fontId="0" fillId="0" borderId="13" xfId="301" applyFont="1" applyBorder="1"/>
    <xf numFmtId="0" fontId="94" fillId="3" borderId="1" xfId="0" applyFont="1" applyFill="1" applyBorder="1"/>
    <xf numFmtId="0" fontId="94" fillId="3" borderId="13" xfId="0" applyFont="1" applyFill="1" applyBorder="1"/>
    <xf numFmtId="167" fontId="0" fillId="2" borderId="9" xfId="300" applyNumberFormat="1" applyFont="1" applyFill="1" applyBorder="1"/>
    <xf numFmtId="167" fontId="0" fillId="2" borderId="1" xfId="300" applyNumberFormat="1" applyFont="1" applyFill="1" applyBorder="1"/>
    <xf numFmtId="0" fontId="0" fillId="2" borderId="7" xfId="0" applyFill="1" applyBorder="1"/>
    <xf numFmtId="0" fontId="0" fillId="2" borderId="7" xfId="0" applyFill="1" applyBorder="1" applyAlignment="1">
      <alignment horizontal="center"/>
    </xf>
    <xf numFmtId="9" fontId="0" fillId="2" borderId="7" xfId="301" applyFont="1" applyFill="1" applyBorder="1" applyAlignment="1">
      <alignment horizontal="left"/>
    </xf>
    <xf numFmtId="0" fontId="0" fillId="61" borderId="7" xfId="0" applyFill="1" applyBorder="1" applyAlignment="1">
      <alignment horizontal="center"/>
    </xf>
    <xf numFmtId="9" fontId="0" fillId="61" borderId="7" xfId="301" applyFont="1" applyFill="1" applyBorder="1" applyAlignment="1">
      <alignment horizontal="center"/>
    </xf>
    <xf numFmtId="169" fontId="0" fillId="61" borderId="7" xfId="0" applyNumberFormat="1" applyFill="1" applyBorder="1" applyAlignment="1">
      <alignment horizontal="center"/>
    </xf>
    <xf numFmtId="169" fontId="30" fillId="2" borderId="0" xfId="301" applyNumberFormat="1" applyFont="1" applyFill="1" applyBorder="1"/>
    <xf numFmtId="1" fontId="0" fillId="6" borderId="7" xfId="301" applyNumberFormat="1" applyFont="1" applyFill="1" applyBorder="1" applyAlignment="1">
      <alignment horizontal="right"/>
    </xf>
    <xf numFmtId="172" fontId="0" fillId="6" borderId="15" xfId="8010" applyNumberFormat="1" applyFont="1" applyFill="1" applyBorder="1" applyAlignment="1">
      <alignment horizontal="right"/>
    </xf>
    <xf numFmtId="172" fontId="0" fillId="6" borderId="3" xfId="8010" applyNumberFormat="1" applyFont="1" applyFill="1" applyBorder="1" applyAlignment="1">
      <alignment horizontal="right"/>
    </xf>
    <xf numFmtId="172" fontId="15" fillId="6" borderId="3" xfId="8010" applyNumberFormat="1" applyFont="1" applyFill="1" applyBorder="1" applyAlignment="1">
      <alignment horizontal="right"/>
    </xf>
    <xf numFmtId="172" fontId="15" fillId="6" borderId="15" xfId="8010" applyNumberFormat="1" applyFont="1" applyFill="1" applyBorder="1" applyAlignment="1">
      <alignment horizontal="right"/>
    </xf>
    <xf numFmtId="172" fontId="15" fillId="6" borderId="2" xfId="8010" applyNumberFormat="1" applyFont="1" applyFill="1" applyBorder="1" applyAlignment="1">
      <alignment horizontal="right"/>
    </xf>
    <xf numFmtId="172" fontId="0" fillId="6" borderId="2" xfId="8010" applyNumberFormat="1" applyFont="1" applyFill="1" applyBorder="1" applyAlignment="1">
      <alignment horizontal="right"/>
    </xf>
    <xf numFmtId="0" fontId="0" fillId="6" borderId="0" xfId="0" applyFill="1" applyBorder="1"/>
    <xf numFmtId="0" fontId="34" fillId="6" borderId="0" xfId="0" applyFont="1" applyFill="1" applyBorder="1"/>
    <xf numFmtId="0" fontId="28" fillId="6" borderId="0" xfId="0" applyFont="1" applyFill="1"/>
    <xf numFmtId="0" fontId="0" fillId="6" borderId="0" xfId="0" applyFill="1"/>
    <xf numFmtId="9" fontId="19" fillId="6" borderId="7" xfId="301" applyFont="1" applyFill="1" applyBorder="1" applyAlignment="1">
      <alignment horizontal="center" wrapText="1"/>
    </xf>
    <xf numFmtId="0" fontId="97" fillId="6" borderId="7" xfId="0" applyFont="1" applyFill="1" applyBorder="1" applyAlignment="1"/>
    <xf numFmtId="9" fontId="16" fillId="6" borderId="7" xfId="301" applyFont="1" applyFill="1" applyBorder="1" applyAlignment="1">
      <alignment horizontal="right"/>
    </xf>
    <xf numFmtId="0" fontId="97" fillId="6" borderId="15" xfId="0" applyFont="1" applyFill="1" applyBorder="1" applyAlignment="1"/>
    <xf numFmtId="169" fontId="16" fillId="6" borderId="62" xfId="301" applyNumberFormat="1" applyFont="1" applyFill="1" applyBorder="1" applyAlignment="1">
      <alignment horizontal="right"/>
    </xf>
    <xf numFmtId="169" fontId="16" fillId="6" borderId="4" xfId="301" applyNumberFormat="1" applyFont="1" applyFill="1" applyBorder="1" applyAlignment="1">
      <alignment horizontal="right"/>
    </xf>
    <xf numFmtId="169" fontId="16" fillId="6" borderId="5" xfId="301" applyNumberFormat="1" applyFont="1" applyFill="1" applyBorder="1" applyAlignment="1">
      <alignment horizontal="right"/>
    </xf>
    <xf numFmtId="0" fontId="16" fillId="6" borderId="0" xfId="0" applyFont="1" applyFill="1" applyBorder="1"/>
    <xf numFmtId="0" fontId="16" fillId="6" borderId="0" xfId="0" applyFont="1" applyFill="1"/>
    <xf numFmtId="10" fontId="0" fillId="61" borderId="7" xfId="301" applyNumberFormat="1" applyFont="1" applyFill="1" applyBorder="1" applyAlignment="1">
      <alignment horizontal="center"/>
    </xf>
    <xf numFmtId="170" fontId="0" fillId="65" borderId="15" xfId="301" applyNumberFormat="1" applyFont="1" applyFill="1" applyBorder="1" applyAlignment="1">
      <alignment horizontal="right"/>
    </xf>
    <xf numFmtId="1" fontId="0" fillId="2" borderId="0" xfId="0" applyNumberFormat="1" applyFill="1"/>
    <xf numFmtId="170" fontId="34" fillId="2" borderId="0" xfId="0" applyNumberFormat="1" applyFont="1" applyFill="1"/>
    <xf numFmtId="170" fontId="0" fillId="2" borderId="0" xfId="301" applyNumberFormat="1" applyFont="1" applyFill="1" applyBorder="1" applyAlignment="1">
      <alignment horizontal="right"/>
    </xf>
    <xf numFmtId="187" fontId="98" fillId="0" borderId="0" xfId="8678" applyNumberFormat="1"/>
    <xf numFmtId="0" fontId="86" fillId="0" borderId="63" xfId="8677" applyFont="1" applyBorder="1"/>
    <xf numFmtId="170" fontId="0" fillId="65" borderId="3" xfId="301" applyNumberFormat="1" applyFont="1" applyFill="1" applyBorder="1" applyAlignment="1">
      <alignment horizontal="right"/>
    </xf>
    <xf numFmtId="170" fontId="0" fillId="65" borderId="2" xfId="301" applyNumberFormat="1" applyFont="1" applyFill="1" applyBorder="1" applyAlignment="1">
      <alignment horizontal="right"/>
    </xf>
    <xf numFmtId="170" fontId="15" fillId="2" borderId="0" xfId="0" applyNumberFormat="1" applyFont="1" applyFill="1"/>
    <xf numFmtId="0" fontId="15" fillId="2" borderId="0" xfId="0" applyFont="1" applyFill="1"/>
    <xf numFmtId="1" fontId="0" fillId="2" borderId="0" xfId="301" applyNumberFormat="1" applyFont="1" applyFill="1" applyBorder="1" applyAlignment="1">
      <alignment horizontal="right"/>
    </xf>
    <xf numFmtId="1" fontId="34" fillId="2" borderId="0" xfId="0" applyNumberFormat="1" applyFont="1" applyFill="1"/>
    <xf numFmtId="1" fontId="0" fillId="65" borderId="15" xfId="301" applyNumberFormat="1" applyFont="1" applyFill="1" applyBorder="1" applyAlignment="1">
      <alignment horizontal="right"/>
    </xf>
    <xf numFmtId="1" fontId="0" fillId="65" borderId="3" xfId="301" applyNumberFormat="1" applyFont="1" applyFill="1" applyBorder="1" applyAlignment="1">
      <alignment horizontal="right"/>
    </xf>
    <xf numFmtId="1" fontId="0" fillId="65" borderId="2" xfId="301" applyNumberFormat="1" applyFont="1" applyFill="1" applyBorder="1" applyAlignment="1">
      <alignment horizontal="right"/>
    </xf>
    <xf numFmtId="191" fontId="0" fillId="2" borderId="0" xfId="0" applyNumberFormat="1" applyFill="1"/>
    <xf numFmtId="10" fontId="0" fillId="2" borderId="7" xfId="301" applyNumberFormat="1" applyFont="1" applyFill="1" applyBorder="1" applyAlignment="1">
      <alignment horizontal="left"/>
    </xf>
    <xf numFmtId="167" fontId="30" fillId="2" borderId="0" xfId="300" applyNumberFormat="1" applyFont="1" applyFill="1" applyBorder="1"/>
    <xf numFmtId="10" fontId="15" fillId="61" borderId="7" xfId="301" applyNumberFormat="1" applyFont="1" applyFill="1" applyBorder="1" applyAlignment="1">
      <alignment horizontal="center"/>
    </xf>
    <xf numFmtId="9" fontId="15" fillId="2" borderId="0" xfId="0" applyNumberFormat="1" applyFont="1" applyFill="1"/>
    <xf numFmtId="0" fontId="22" fillId="2" borderId="0" xfId="0" applyFont="1" applyFill="1"/>
    <xf numFmtId="167" fontId="29" fillId="3" borderId="9" xfId="300" applyNumberFormat="1" applyFont="1" applyFill="1" applyBorder="1"/>
    <xf numFmtId="167" fontId="29" fillId="3" borderId="0" xfId="300" applyNumberFormat="1" applyFont="1" applyFill="1" applyBorder="1"/>
    <xf numFmtId="167" fontId="29" fillId="3" borderId="1" xfId="300" applyNumberFormat="1" applyFont="1" applyFill="1" applyBorder="1"/>
    <xf numFmtId="0" fontId="104" fillId="2" borderId="0" xfId="0" applyFont="1" applyFill="1"/>
    <xf numFmtId="0" fontId="82" fillId="2" borderId="0" xfId="0" applyFont="1" applyFill="1" applyAlignment="1">
      <alignment horizontal="right"/>
    </xf>
    <xf numFmtId="167" fontId="82" fillId="2" borderId="0" xfId="300" applyNumberFormat="1" applyFont="1" applyFill="1"/>
    <xf numFmtId="0" fontId="82" fillId="2" borderId="0" xfId="0" applyFont="1" applyFill="1"/>
    <xf numFmtId="0" fontId="20" fillId="2" borderId="0" xfId="75" applyFont="1" applyFill="1" applyAlignment="1">
      <alignment vertical="top"/>
    </xf>
    <xf numFmtId="0" fontId="14" fillId="2" borderId="0" xfId="75" applyFill="1" applyAlignment="1">
      <alignment vertical="top"/>
    </xf>
    <xf numFmtId="0" fontId="14" fillId="2" borderId="10" xfId="75" applyFill="1" applyBorder="1" applyAlignment="1">
      <alignment vertical="top"/>
    </xf>
    <xf numFmtId="0" fontId="14" fillId="2" borderId="11" xfId="75" applyFill="1" applyBorder="1" applyAlignment="1">
      <alignment vertical="top"/>
    </xf>
    <xf numFmtId="0" fontId="14" fillId="2" borderId="0" xfId="75" applyFill="1" applyBorder="1" applyAlignment="1">
      <alignment vertical="top"/>
    </xf>
    <xf numFmtId="0" fontId="20" fillId="2" borderId="0" xfId="75" applyFont="1" applyFill="1" applyBorder="1" applyAlignment="1">
      <alignment vertical="top"/>
    </xf>
    <xf numFmtId="0" fontId="91" fillId="2" borderId="0" xfId="75" applyFont="1" applyFill="1" applyAlignment="1">
      <alignment vertical="top"/>
    </xf>
    <xf numFmtId="0" fontId="14" fillId="2" borderId="6" xfId="75" applyFill="1" applyBorder="1" applyAlignment="1">
      <alignment vertical="top"/>
    </xf>
    <xf numFmtId="0" fontId="14" fillId="2" borderId="1" xfId="75" applyFill="1" applyBorder="1" applyAlignment="1">
      <alignment vertical="top"/>
    </xf>
    <xf numFmtId="0" fontId="14" fillId="3" borderId="8" xfId="75" applyFill="1" applyBorder="1" applyAlignment="1">
      <alignment vertical="top"/>
    </xf>
    <xf numFmtId="0" fontId="20" fillId="3" borderId="13" xfId="75" applyFont="1" applyFill="1" applyBorder="1" applyAlignment="1">
      <alignment vertical="top"/>
    </xf>
    <xf numFmtId="0" fontId="14" fillId="3" borderId="13" xfId="75" applyFill="1" applyBorder="1" applyAlignment="1">
      <alignment horizontal="center" vertical="top"/>
    </xf>
    <xf numFmtId="0" fontId="91" fillId="2" borderId="0" xfId="75" applyFont="1" applyFill="1" applyBorder="1" applyAlignment="1">
      <alignment vertical="top"/>
    </xf>
    <xf numFmtId="0" fontId="91" fillId="2" borderId="62" xfId="75" applyFont="1" applyFill="1" applyBorder="1" applyAlignment="1">
      <alignment vertical="top"/>
    </xf>
    <xf numFmtId="0" fontId="91" fillId="2" borderId="4" xfId="75" applyFont="1" applyFill="1" applyBorder="1" applyAlignment="1">
      <alignment vertical="top"/>
    </xf>
    <xf numFmtId="0" fontId="91" fillId="2" borderId="5" xfId="75" applyFont="1" applyFill="1" applyBorder="1" applyAlignment="1">
      <alignment vertical="top"/>
    </xf>
    <xf numFmtId="0" fontId="20" fillId="2" borderId="4" xfId="75" applyFont="1" applyFill="1" applyBorder="1" applyAlignment="1">
      <alignment vertical="top"/>
    </xf>
    <xf numFmtId="0" fontId="20" fillId="2" borderId="1" xfId="75" applyFont="1" applyFill="1" applyBorder="1" applyAlignment="1">
      <alignment vertical="top"/>
    </xf>
    <xf numFmtId="0" fontId="20" fillId="2" borderId="5" xfId="75" applyFont="1" applyFill="1" applyBorder="1" applyAlignment="1">
      <alignment vertical="top"/>
    </xf>
    <xf numFmtId="0" fontId="14" fillId="3" borderId="13" xfId="75" applyFill="1" applyBorder="1" applyAlignment="1">
      <alignment vertical="top"/>
    </xf>
    <xf numFmtId="0" fontId="20" fillId="3" borderId="14" xfId="75" applyFont="1" applyFill="1" applyBorder="1" applyAlignment="1">
      <alignment vertical="top"/>
    </xf>
    <xf numFmtId="0" fontId="96" fillId="2" borderId="11" xfId="0" applyFont="1" applyFill="1" applyBorder="1"/>
    <xf numFmtId="0" fontId="106" fillId="3" borderId="8" xfId="75" applyFont="1" applyFill="1" applyBorder="1" applyAlignment="1">
      <alignment vertical="top"/>
    </xf>
    <xf numFmtId="185" fontId="15" fillId="61" borderId="9" xfId="75" applyNumberFormat="1" applyFont="1" applyFill="1" applyBorder="1" applyAlignment="1">
      <alignment horizontal="center" vertical="top"/>
    </xf>
    <xf numFmtId="185" fontId="15" fillId="61" borderId="10" xfId="75" applyNumberFormat="1" applyFont="1" applyFill="1" applyBorder="1" applyAlignment="1">
      <alignment horizontal="center" vertical="top"/>
    </xf>
    <xf numFmtId="185" fontId="15" fillId="61" borderId="15" xfId="75" applyNumberFormat="1" applyFont="1" applyFill="1" applyBorder="1" applyAlignment="1">
      <alignment horizontal="center" vertical="top"/>
    </xf>
    <xf numFmtId="185" fontId="15" fillId="61" borderId="0" xfId="75" applyNumberFormat="1" applyFont="1" applyFill="1" applyBorder="1" applyAlignment="1">
      <alignment horizontal="center" vertical="top"/>
    </xf>
    <xf numFmtId="185" fontId="15" fillId="61" borderId="11" xfId="75" applyNumberFormat="1" applyFont="1" applyFill="1" applyBorder="1" applyAlignment="1">
      <alignment horizontal="center" vertical="top"/>
    </xf>
    <xf numFmtId="185" fontId="15" fillId="61" borderId="3" xfId="75" applyNumberFormat="1" applyFont="1" applyFill="1" applyBorder="1" applyAlignment="1">
      <alignment horizontal="center" vertical="top"/>
    </xf>
    <xf numFmtId="185" fontId="15" fillId="61" borderId="1" xfId="75" applyNumberFormat="1" applyFont="1" applyFill="1" applyBorder="1" applyAlignment="1">
      <alignment horizontal="center" vertical="top"/>
    </xf>
    <xf numFmtId="185" fontId="15" fillId="61" borderId="6" xfId="75" applyNumberFormat="1" applyFont="1" applyFill="1" applyBorder="1" applyAlignment="1">
      <alignment horizontal="center" vertical="top"/>
    </xf>
    <xf numFmtId="185" fontId="15" fillId="61" borderId="2" xfId="75" applyNumberFormat="1" applyFont="1" applyFill="1" applyBorder="1" applyAlignment="1">
      <alignment horizontal="center" vertical="top"/>
    </xf>
    <xf numFmtId="0" fontId="105" fillId="2" borderId="6" xfId="0" applyFont="1" applyFill="1" applyBorder="1"/>
    <xf numFmtId="0" fontId="0" fillId="5" borderId="7" xfId="0" applyFill="1" applyBorder="1"/>
    <xf numFmtId="0" fontId="29" fillId="2" borderId="7" xfId="0" applyFont="1" applyFill="1" applyBorder="1"/>
    <xf numFmtId="2" fontId="0" fillId="61" borderId="7" xfId="301" applyNumberFormat="1" applyFont="1" applyFill="1" applyBorder="1" applyAlignment="1">
      <alignment horizontal="center"/>
    </xf>
    <xf numFmtId="169" fontId="0" fillId="2" borderId="7" xfId="301" applyNumberFormat="1" applyFont="1" applyFill="1" applyBorder="1" applyAlignment="1">
      <alignment horizontal="left"/>
    </xf>
    <xf numFmtId="9" fontId="15" fillId="2" borderId="7" xfId="301" applyFont="1" applyFill="1" applyBorder="1" applyAlignment="1">
      <alignment horizontal="left"/>
    </xf>
    <xf numFmtId="0" fontId="0" fillId="2" borderId="2" xfId="0" applyFill="1" applyBorder="1"/>
    <xf numFmtId="172" fontId="0" fillId="2" borderId="9" xfId="0" applyNumberFormat="1" applyFill="1" applyBorder="1"/>
    <xf numFmtId="170" fontId="0" fillId="2" borderId="9" xfId="0" applyNumberFormat="1" applyFill="1" applyBorder="1"/>
    <xf numFmtId="172" fontId="0" fillId="2" borderId="0" xfId="0" applyNumberFormat="1" applyFill="1" applyBorder="1"/>
    <xf numFmtId="170" fontId="0" fillId="2" borderId="0" xfId="0" applyNumberFormat="1" applyFill="1" applyBorder="1"/>
    <xf numFmtId="172" fontId="0" fillId="2" borderId="1" xfId="0" applyNumberFormat="1" applyFill="1" applyBorder="1"/>
    <xf numFmtId="170" fontId="0" fillId="2" borderId="1" xfId="0" applyNumberFormat="1" applyFill="1" applyBorder="1"/>
    <xf numFmtId="0" fontId="110" fillId="2" borderId="0" xfId="0" applyFont="1" applyFill="1"/>
    <xf numFmtId="0" fontId="90" fillId="2" borderId="0" xfId="0" applyFont="1" applyFill="1" applyAlignment="1">
      <alignment horizontal="center" vertical="center"/>
    </xf>
    <xf numFmtId="0" fontId="90" fillId="0" borderId="0" xfId="0" applyFont="1"/>
    <xf numFmtId="38" fontId="90" fillId="2" borderId="10" xfId="0" applyNumberFormat="1" applyFont="1" applyFill="1" applyBorder="1"/>
    <xf numFmtId="172" fontId="90" fillId="2" borderId="10" xfId="8010" applyNumberFormat="1" applyFont="1" applyFill="1" applyBorder="1"/>
    <xf numFmtId="38" fontId="90" fillId="2" borderId="11" xfId="0" applyNumberFormat="1" applyFont="1" applyFill="1" applyBorder="1"/>
    <xf numFmtId="172" fontId="90" fillId="2" borderId="11" xfId="8010" applyNumberFormat="1" applyFont="1" applyFill="1" applyBorder="1"/>
    <xf numFmtId="172" fontId="90" fillId="2" borderId="6" xfId="8010" applyNumberFormat="1" applyFont="1" applyFill="1" applyBorder="1"/>
    <xf numFmtId="0" fontId="90" fillId="2" borderId="0" xfId="0" applyFont="1" applyFill="1" applyBorder="1"/>
    <xf numFmtId="172" fontId="0" fillId="2" borderId="62" xfId="0" applyNumberFormat="1" applyFill="1" applyBorder="1" applyAlignment="1">
      <alignment horizontal="right"/>
    </xf>
    <xf numFmtId="172" fontId="0" fillId="2" borderId="4" xfId="0" applyNumberFormat="1" applyFill="1" applyBorder="1" applyAlignment="1">
      <alignment horizontal="right"/>
    </xf>
    <xf numFmtId="172" fontId="0" fillId="2" borderId="5" xfId="0" applyNumberFormat="1" applyFill="1" applyBorder="1" applyAlignment="1">
      <alignment horizontal="right"/>
    </xf>
    <xf numFmtId="169" fontId="0" fillId="2" borderId="0" xfId="0" applyNumberFormat="1" applyFill="1"/>
    <xf numFmtId="0" fontId="0" fillId="2" borderId="0" xfId="0" applyFill="1" applyProtection="1">
      <protection locked="0"/>
    </xf>
    <xf numFmtId="0" fontId="104" fillId="2" borderId="0" xfId="0" applyFont="1" applyFill="1" applyProtection="1">
      <protection locked="0"/>
    </xf>
    <xf numFmtId="0" fontId="26" fillId="2" borderId="0" xfId="0" applyFont="1" applyFill="1" applyAlignment="1" applyProtection="1">
      <alignment horizontal="center" wrapText="1"/>
      <protection locked="0"/>
    </xf>
    <xf numFmtId="0" fontId="19" fillId="2" borderId="0" xfId="0" applyFont="1" applyFill="1" applyBorder="1" applyProtection="1">
      <protection locked="0"/>
    </xf>
    <xf numFmtId="0" fontId="107" fillId="67" borderId="7" xfId="0" applyFont="1" applyFill="1" applyBorder="1" applyAlignment="1" applyProtection="1">
      <alignment horizontal="center" vertical="center" wrapText="1"/>
      <protection locked="0"/>
    </xf>
    <xf numFmtId="0" fontId="108" fillId="2" borderId="0" xfId="0" applyFont="1" applyFill="1" applyBorder="1" applyAlignment="1" applyProtection="1">
      <alignment horizontal="center" vertical="center"/>
      <protection locked="0"/>
    </xf>
    <xf numFmtId="0" fontId="107" fillId="67" borderId="8" xfId="0" applyFont="1" applyFill="1" applyBorder="1" applyAlignment="1" applyProtection="1">
      <alignment horizontal="center" vertical="center"/>
      <protection locked="0"/>
    </xf>
    <xf numFmtId="0" fontId="107" fillId="67" borderId="13" xfId="0" applyFont="1" applyFill="1" applyBorder="1" applyAlignment="1" applyProtection="1">
      <alignment horizontal="center" vertical="center"/>
      <protection locked="0"/>
    </xf>
    <xf numFmtId="0" fontId="107" fillId="67" borderId="14" xfId="0" applyFont="1" applyFill="1" applyBorder="1" applyAlignment="1" applyProtection="1">
      <alignment horizontal="center" vertical="center"/>
      <protection locked="0"/>
    </xf>
    <xf numFmtId="167" fontId="19" fillId="2" borderId="0" xfId="300" applyNumberFormat="1" applyFont="1" applyFill="1" applyBorder="1" applyAlignment="1" applyProtection="1">
      <alignment horizontal="center"/>
      <protection locked="0"/>
    </xf>
    <xf numFmtId="0" fontId="22" fillId="2" borderId="0" xfId="0" applyFont="1" applyFill="1" applyProtection="1">
      <protection locked="0"/>
    </xf>
    <xf numFmtId="186" fontId="0" fillId="61" borderId="10" xfId="0" applyNumberFormat="1" applyFill="1" applyBorder="1" applyProtection="1">
      <protection locked="0"/>
    </xf>
    <xf numFmtId="186" fontId="0" fillId="61" borderId="9" xfId="0" applyNumberFormat="1" applyFill="1" applyBorder="1" applyProtection="1">
      <protection locked="0"/>
    </xf>
    <xf numFmtId="186" fontId="0" fillId="61" borderId="62" xfId="0" applyNumberFormat="1" applyFill="1" applyBorder="1" applyProtection="1">
      <protection locked="0"/>
    </xf>
    <xf numFmtId="0" fontId="24" fillId="2" borderId="0" xfId="0" applyFont="1" applyFill="1" applyProtection="1">
      <protection locked="0"/>
    </xf>
    <xf numFmtId="0" fontId="15" fillId="61" borderId="9" xfId="0" applyFont="1" applyFill="1" applyBorder="1" applyProtection="1">
      <protection locked="0"/>
    </xf>
    <xf numFmtId="0" fontId="15" fillId="61" borderId="62" xfId="0" applyFont="1" applyFill="1" applyBorder="1" applyProtection="1">
      <protection locked="0"/>
    </xf>
    <xf numFmtId="0" fontId="15" fillId="61" borderId="10" xfId="0" applyFont="1" applyFill="1" applyBorder="1" applyProtection="1">
      <protection locked="0"/>
    </xf>
    <xf numFmtId="0" fontId="0" fillId="3" borderId="6" xfId="0" applyFill="1" applyBorder="1" applyProtection="1">
      <protection locked="0"/>
    </xf>
    <xf numFmtId="9" fontId="18" fillId="61" borderId="9" xfId="0" applyNumberFormat="1" applyFont="1" applyFill="1" applyBorder="1" applyProtection="1">
      <protection locked="0"/>
    </xf>
    <xf numFmtId="9" fontId="18" fillId="61" borderId="62" xfId="0" applyNumberFormat="1" applyFont="1" applyFill="1" applyBorder="1" applyProtection="1">
      <protection locked="0"/>
    </xf>
    <xf numFmtId="0" fontId="0" fillId="2" borderId="11" xfId="0" applyFill="1" applyBorder="1" applyProtection="1">
      <protection locked="0"/>
    </xf>
    <xf numFmtId="9" fontId="3" fillId="2" borderId="0" xfId="301" applyFont="1" applyFill="1" applyBorder="1" applyProtection="1">
      <protection locked="0"/>
    </xf>
    <xf numFmtId="9" fontId="3" fillId="2" borderId="4" xfId="301" applyFont="1" applyFill="1" applyBorder="1" applyProtection="1">
      <protection locked="0"/>
    </xf>
    <xf numFmtId="0" fontId="0" fillId="2" borderId="11" xfId="0" applyFont="1" applyFill="1" applyBorder="1" applyProtection="1">
      <protection locked="0"/>
    </xf>
    <xf numFmtId="0" fontId="0" fillId="3" borderId="10" xfId="0" applyFill="1" applyBorder="1" applyProtection="1">
      <protection locked="0"/>
    </xf>
    <xf numFmtId="0" fontId="0" fillId="3" borderId="11" xfId="0" applyFill="1" applyBorder="1" applyProtection="1">
      <protection locked="0"/>
    </xf>
    <xf numFmtId="170" fontId="0" fillId="6" borderId="8" xfId="301" applyNumberFormat="1" applyFont="1" applyFill="1" applyBorder="1" applyAlignment="1" applyProtection="1">
      <alignment horizontal="center" vertical="top" wrapText="1"/>
    </xf>
    <xf numFmtId="170" fontId="0" fillId="6" borderId="13" xfId="301" applyNumberFormat="1" applyFont="1" applyFill="1" applyBorder="1" applyAlignment="1" applyProtection="1">
      <alignment horizontal="center" vertical="top" wrapText="1"/>
    </xf>
    <xf numFmtId="167" fontId="15" fillId="6" borderId="13" xfId="300" applyNumberFormat="1" applyFont="1" applyFill="1" applyBorder="1" applyAlignment="1" applyProtection="1">
      <alignment horizontal="center" vertical="top" wrapText="1"/>
    </xf>
    <xf numFmtId="167" fontId="15" fillId="6" borderId="14" xfId="300" applyNumberFormat="1" applyFont="1" applyFill="1" applyBorder="1" applyAlignment="1" applyProtection="1">
      <alignment horizontal="center" vertical="top" wrapText="1"/>
    </xf>
    <xf numFmtId="167" fontId="0" fillId="2" borderId="62" xfId="300" applyNumberFormat="1" applyFont="1" applyFill="1" applyBorder="1" applyProtection="1"/>
    <xf numFmtId="9" fontId="3" fillId="2" borderId="11" xfId="301" applyFont="1" applyFill="1" applyBorder="1" applyProtection="1"/>
    <xf numFmtId="9" fontId="3" fillId="2" borderId="0" xfId="301" applyFont="1" applyFill="1" applyBorder="1" applyProtection="1"/>
    <xf numFmtId="167" fontId="0" fillId="2" borderId="4" xfId="300" applyNumberFormat="1" applyFont="1" applyFill="1" applyBorder="1" applyProtection="1"/>
    <xf numFmtId="0" fontId="107" fillId="67" borderId="10" xfId="0" applyFont="1" applyFill="1" applyBorder="1" applyAlignment="1" applyProtection="1">
      <alignment horizontal="center" vertical="center"/>
      <protection locked="0"/>
    </xf>
    <xf numFmtId="0" fontId="107" fillId="67" borderId="9" xfId="0" applyFont="1" applyFill="1" applyBorder="1" applyAlignment="1" applyProtection="1">
      <alignment horizontal="center" vertical="center"/>
      <protection locked="0"/>
    </xf>
    <xf numFmtId="0" fontId="107" fillId="67" borderId="62" xfId="0" applyFont="1" applyFill="1" applyBorder="1" applyAlignment="1" applyProtection="1">
      <alignment horizontal="center" vertical="center"/>
      <protection locked="0"/>
    </xf>
    <xf numFmtId="0" fontId="17" fillId="6" borderId="8" xfId="0" applyFont="1" applyFill="1" applyBorder="1" applyProtection="1">
      <protection locked="0"/>
    </xf>
    <xf numFmtId="0" fontId="110" fillId="2" borderId="0" xfId="0" applyFont="1" applyFill="1" applyProtection="1">
      <protection locked="0"/>
    </xf>
    <xf numFmtId="0" fontId="90" fillId="2" borderId="0" xfId="0" applyFont="1" applyFill="1" applyAlignment="1" applyProtection="1">
      <alignment horizontal="center" vertical="center"/>
      <protection locked="0"/>
    </xf>
    <xf numFmtId="167" fontId="0" fillId="2" borderId="0" xfId="300" applyNumberFormat="1" applyFont="1" applyFill="1" applyProtection="1">
      <protection locked="0"/>
    </xf>
    <xf numFmtId="0" fontId="0" fillId="2" borderId="15" xfId="0" applyFill="1" applyBorder="1" applyProtection="1">
      <protection locked="0"/>
    </xf>
    <xf numFmtId="172" fontId="15" fillId="61" borderId="10" xfId="0" applyNumberFormat="1" applyFont="1" applyFill="1" applyBorder="1" applyProtection="1">
      <protection locked="0"/>
    </xf>
    <xf numFmtId="172" fontId="15" fillId="61" borderId="9" xfId="0" applyNumberFormat="1" applyFont="1" applyFill="1" applyBorder="1" applyProtection="1">
      <protection locked="0"/>
    </xf>
    <xf numFmtId="172" fontId="15" fillId="61" borderId="62" xfId="0" applyNumberFormat="1" applyFont="1" applyFill="1" applyBorder="1" applyProtection="1">
      <protection locked="0"/>
    </xf>
    <xf numFmtId="0" fontId="0" fillId="2" borderId="3" xfId="0" applyFill="1" applyBorder="1" applyProtection="1">
      <protection locked="0"/>
    </xf>
    <xf numFmtId="42" fontId="15" fillId="61" borderId="11" xfId="0" applyNumberFormat="1" applyFont="1" applyFill="1" applyBorder="1" applyProtection="1">
      <protection locked="0"/>
    </xf>
    <xf numFmtId="42" fontId="15" fillId="61" borderId="0" xfId="0" applyNumberFormat="1" applyFont="1" applyFill="1" applyBorder="1" applyProtection="1">
      <protection locked="0"/>
    </xf>
    <xf numFmtId="42" fontId="15" fillId="61" borderId="4" xfId="0" applyNumberFormat="1" applyFont="1" applyFill="1" applyBorder="1" applyProtection="1">
      <protection locked="0"/>
    </xf>
    <xf numFmtId="0" fontId="0" fillId="2" borderId="7" xfId="0" applyFill="1" applyBorder="1" applyProtection="1">
      <protection locked="0"/>
    </xf>
    <xf numFmtId="0" fontId="19" fillId="2" borderId="13" xfId="0" applyFont="1" applyFill="1" applyBorder="1" applyProtection="1">
      <protection locked="0"/>
    </xf>
    <xf numFmtId="42" fontId="0" fillId="2" borderId="13" xfId="0" applyNumberFormat="1" applyFill="1" applyBorder="1" applyProtection="1">
      <protection locked="0"/>
    </xf>
    <xf numFmtId="42" fontId="0" fillId="2" borderId="14" xfId="0" applyNumberFormat="1" applyFill="1" applyBorder="1" applyProtection="1">
      <protection locked="0"/>
    </xf>
    <xf numFmtId="0" fontId="19" fillId="2" borderId="2" xfId="0" applyFont="1" applyFill="1" applyBorder="1" applyProtection="1">
      <protection locked="0"/>
    </xf>
    <xf numFmtId="169" fontId="0" fillId="2" borderId="0" xfId="301" applyNumberFormat="1" applyFont="1" applyFill="1" applyProtection="1">
      <protection locked="0"/>
    </xf>
    <xf numFmtId="0" fontId="0" fillId="2" borderId="10" xfId="0" applyFill="1" applyBorder="1" applyProtection="1">
      <protection locked="0"/>
    </xf>
    <xf numFmtId="42" fontId="18" fillId="61" borderId="6" xfId="0" applyNumberFormat="1" applyFont="1" applyFill="1" applyBorder="1" applyProtection="1">
      <protection locked="0"/>
    </xf>
    <xf numFmtId="42" fontId="18" fillId="61" borderId="1" xfId="0" applyNumberFormat="1" applyFont="1" applyFill="1" applyBorder="1" applyProtection="1">
      <protection locked="0"/>
    </xf>
    <xf numFmtId="42" fontId="18" fillId="61" borderId="5" xfId="0" applyNumberFormat="1" applyFont="1" applyFill="1" applyBorder="1" applyProtection="1">
      <protection locked="0"/>
    </xf>
    <xf numFmtId="0" fontId="19" fillId="2" borderId="10" xfId="0" applyFont="1" applyFill="1" applyBorder="1" applyProtection="1">
      <protection locked="0"/>
    </xf>
    <xf numFmtId="42" fontId="0" fillId="2" borderId="0" xfId="0" applyNumberFormat="1" applyFill="1" applyBorder="1" applyProtection="1">
      <protection locked="0"/>
    </xf>
    <xf numFmtId="42" fontId="0" fillId="2" borderId="4" xfId="0" applyNumberFormat="1" applyFill="1" applyBorder="1" applyProtection="1">
      <protection locked="0"/>
    </xf>
    <xf numFmtId="0" fontId="19" fillId="0" borderId="6" xfId="0" applyFont="1" applyFill="1" applyBorder="1" applyProtection="1">
      <protection locked="0"/>
    </xf>
    <xf numFmtId="0" fontId="0" fillId="2" borderId="0" xfId="0" applyFill="1" applyBorder="1" applyProtection="1">
      <protection locked="0"/>
    </xf>
    <xf numFmtId="42" fontId="0" fillId="2" borderId="0" xfId="0" applyNumberFormat="1" applyFill="1" applyProtection="1">
      <protection locked="0"/>
    </xf>
    <xf numFmtId="42" fontId="15" fillId="2" borderId="0" xfId="0" applyNumberFormat="1" applyFont="1" applyFill="1" applyBorder="1" applyProtection="1">
      <protection locked="0"/>
    </xf>
    <xf numFmtId="42" fontId="15" fillId="2" borderId="4" xfId="0" applyNumberFormat="1" applyFont="1" applyFill="1" applyBorder="1" applyProtection="1">
      <protection locked="0"/>
    </xf>
    <xf numFmtId="0" fontId="92" fillId="2" borderId="0" xfId="0" applyFont="1" applyFill="1" applyAlignment="1" applyProtection="1">
      <alignment horizontal="right"/>
      <protection locked="0"/>
    </xf>
    <xf numFmtId="167" fontId="26" fillId="2" borderId="0" xfId="300" applyNumberFormat="1" applyFont="1" applyFill="1" applyBorder="1" applyAlignment="1" applyProtection="1">
      <alignment horizontal="center"/>
      <protection locked="0"/>
    </xf>
    <xf numFmtId="42" fontId="15" fillId="61" borderId="6" xfId="0" applyNumberFormat="1" applyFont="1" applyFill="1" applyBorder="1" applyProtection="1">
      <protection locked="0"/>
    </xf>
    <xf numFmtId="42" fontId="15" fillId="61" borderId="1" xfId="0" applyNumberFormat="1" applyFont="1" applyFill="1" applyBorder="1" applyProtection="1">
      <protection locked="0"/>
    </xf>
    <xf numFmtId="42" fontId="15" fillId="61" borderId="5" xfId="0" applyNumberFormat="1" applyFont="1" applyFill="1" applyBorder="1" applyProtection="1">
      <protection locked="0"/>
    </xf>
    <xf numFmtId="0" fontId="17" fillId="6" borderId="7" xfId="0" applyFont="1" applyFill="1" applyBorder="1" applyProtection="1">
      <protection locked="0"/>
    </xf>
    <xf numFmtId="0" fontId="0" fillId="0" borderId="0" xfId="0" applyProtection="1">
      <protection locked="0"/>
    </xf>
    <xf numFmtId="0" fontId="101" fillId="66" borderId="15" xfId="0" applyFont="1" applyFill="1" applyBorder="1" applyAlignment="1" applyProtection="1">
      <alignment vertical="center"/>
      <protection locked="0"/>
    </xf>
    <xf numFmtId="167" fontId="103" fillId="61" borderId="62" xfId="300" applyNumberFormat="1" applyFont="1" applyFill="1" applyBorder="1" applyAlignment="1" applyProtection="1">
      <alignment horizontal="right" vertical="center"/>
      <protection locked="0"/>
    </xf>
    <xf numFmtId="0" fontId="101" fillId="66" borderId="3" xfId="0" applyFont="1" applyFill="1" applyBorder="1" applyAlignment="1" applyProtection="1">
      <alignment vertical="center"/>
      <protection locked="0"/>
    </xf>
    <xf numFmtId="167" fontId="103" fillId="61" borderId="4" xfId="300" applyNumberFormat="1" applyFont="1" applyFill="1" applyBorder="1" applyAlignment="1" applyProtection="1">
      <alignment horizontal="right" vertical="center"/>
      <protection locked="0"/>
    </xf>
    <xf numFmtId="167" fontId="101" fillId="61" borderId="4" xfId="300" applyNumberFormat="1" applyFont="1" applyFill="1" applyBorder="1" applyAlignment="1" applyProtection="1">
      <alignment horizontal="right" vertical="center"/>
      <protection locked="0"/>
    </xf>
    <xf numFmtId="0" fontId="101" fillId="66" borderId="2" xfId="0" applyFont="1" applyFill="1" applyBorder="1" applyAlignment="1" applyProtection="1">
      <alignment vertical="center"/>
      <protection locked="0"/>
    </xf>
    <xf numFmtId="167" fontId="101" fillId="61" borderId="5" xfId="300" applyNumberFormat="1" applyFont="1" applyFill="1" applyBorder="1" applyAlignment="1" applyProtection="1">
      <alignment horizontal="right" vertical="center"/>
      <protection locked="0"/>
    </xf>
    <xf numFmtId="0" fontId="0" fillId="2" borderId="10" xfId="0" applyFill="1" applyBorder="1" applyAlignment="1" applyProtection="1">
      <alignment horizontal="left"/>
      <protection locked="0"/>
    </xf>
    <xf numFmtId="0" fontId="0" fillId="2" borderId="9" xfId="0" applyFill="1" applyBorder="1" applyProtection="1">
      <protection locked="0"/>
    </xf>
    <xf numFmtId="0" fontId="0" fillId="2" borderId="62" xfId="0" applyFill="1" applyBorder="1" applyProtection="1">
      <protection locked="0"/>
    </xf>
    <xf numFmtId="0" fontId="0" fillId="2" borderId="6" xfId="0" applyFill="1" applyBorder="1" applyAlignment="1" applyProtection="1">
      <alignment horizontal="left"/>
      <protection locked="0"/>
    </xf>
    <xf numFmtId="0" fontId="0" fillId="2" borderId="6" xfId="0" applyFill="1" applyBorder="1" applyProtection="1">
      <protection locked="0"/>
    </xf>
    <xf numFmtId="0" fontId="0" fillId="2" borderId="1" xfId="0" applyFill="1" applyBorder="1" applyProtection="1">
      <protection locked="0"/>
    </xf>
    <xf numFmtId="0" fontId="0" fillId="2" borderId="5" xfId="0" applyFill="1" applyBorder="1" applyProtection="1">
      <protection locked="0"/>
    </xf>
    <xf numFmtId="42" fontId="0" fillId="2" borderId="8" xfId="0" applyNumberFormat="1" applyFill="1" applyBorder="1" applyProtection="1"/>
    <xf numFmtId="42" fontId="0" fillId="2" borderId="13" xfId="0" applyNumberFormat="1" applyFill="1" applyBorder="1" applyProtection="1"/>
    <xf numFmtId="42" fontId="15" fillId="2" borderId="6" xfId="0" applyNumberFormat="1" applyFont="1" applyFill="1" applyBorder="1" applyProtection="1"/>
    <xf numFmtId="42" fontId="15" fillId="2" borderId="1" xfId="0" applyNumberFormat="1" applyFont="1" applyFill="1" applyBorder="1" applyProtection="1"/>
    <xf numFmtId="167" fontId="0" fillId="2" borderId="14" xfId="300" applyNumberFormat="1" applyFont="1" applyFill="1" applyBorder="1" applyProtection="1"/>
    <xf numFmtId="167" fontId="19" fillId="2" borderId="5" xfId="300" applyNumberFormat="1" applyFont="1" applyFill="1" applyBorder="1" applyProtection="1"/>
    <xf numFmtId="42" fontId="0" fillId="2" borderId="10" xfId="0" applyNumberFormat="1" applyFill="1" applyBorder="1" applyProtection="1"/>
    <xf numFmtId="42" fontId="0" fillId="2" borderId="9" xfId="0" applyNumberFormat="1" applyFill="1" applyBorder="1" applyProtection="1"/>
    <xf numFmtId="42" fontId="0" fillId="2" borderId="11" xfId="0" applyNumberFormat="1" applyFill="1" applyBorder="1" applyProtection="1"/>
    <xf numFmtId="42" fontId="0" fillId="2" borderId="0" xfId="0" applyNumberFormat="1" applyFill="1" applyBorder="1" applyProtection="1"/>
    <xf numFmtId="42" fontId="0" fillId="2" borderId="6" xfId="0" applyNumberFormat="1" applyFill="1" applyBorder="1" applyProtection="1"/>
    <xf numFmtId="42" fontId="0" fillId="2" borderId="1" xfId="0" applyNumberFormat="1" applyFill="1" applyBorder="1" applyProtection="1"/>
    <xf numFmtId="167" fontId="0" fillId="2" borderId="15" xfId="300" applyNumberFormat="1" applyFont="1" applyFill="1" applyBorder="1" applyProtection="1"/>
    <xf numFmtId="167" fontId="0" fillId="2" borderId="3" xfId="300" applyNumberFormat="1" applyFont="1" applyFill="1" applyBorder="1" applyProtection="1"/>
    <xf numFmtId="167" fontId="19" fillId="2" borderId="15" xfId="300" applyNumberFormat="1" applyFont="1" applyFill="1" applyBorder="1" applyProtection="1"/>
    <xf numFmtId="167" fontId="19" fillId="63" borderId="2" xfId="300" applyNumberFormat="1" applyFont="1" applyFill="1" applyBorder="1" applyProtection="1"/>
    <xf numFmtId="42" fontId="15" fillId="61" borderId="10" xfId="0" applyNumberFormat="1" applyFont="1" applyFill="1" applyBorder="1" applyProtection="1"/>
    <xf numFmtId="42" fontId="15" fillId="61" borderId="9" xfId="0" applyNumberFormat="1" applyFont="1" applyFill="1" applyBorder="1" applyProtection="1"/>
    <xf numFmtId="42" fontId="15" fillId="61" borderId="11" xfId="0" applyNumberFormat="1" applyFont="1" applyFill="1" applyBorder="1" applyProtection="1"/>
    <xf numFmtId="42" fontId="15" fillId="61" borderId="0" xfId="0" applyNumberFormat="1" applyFont="1" applyFill="1" applyBorder="1" applyProtection="1"/>
    <xf numFmtId="42" fontId="15" fillId="2" borderId="11" xfId="0" applyNumberFormat="1" applyFont="1" applyFill="1" applyBorder="1" applyProtection="1"/>
    <xf numFmtId="42" fontId="15" fillId="2" borderId="0" xfId="0" applyNumberFormat="1" applyFont="1" applyFill="1" applyBorder="1" applyProtection="1"/>
    <xf numFmtId="167" fontId="19" fillId="63" borderId="15" xfId="300" applyNumberFormat="1" applyFont="1" applyFill="1" applyBorder="1" applyProtection="1"/>
    <xf numFmtId="167" fontId="19" fillId="63" borderId="3" xfId="300" applyNumberFormat="1" applyFont="1" applyFill="1" applyBorder="1" applyProtection="1"/>
    <xf numFmtId="167" fontId="26" fillId="2" borderId="0" xfId="300" applyNumberFormat="1" applyFont="1" applyFill="1" applyBorder="1" applyAlignment="1" applyProtection="1">
      <alignment horizontal="center"/>
    </xf>
    <xf numFmtId="167" fontId="101" fillId="61" borderId="4" xfId="300" applyNumberFormat="1" applyFont="1" applyFill="1" applyBorder="1" applyAlignment="1" applyProtection="1">
      <alignment horizontal="right" vertical="center"/>
    </xf>
    <xf numFmtId="0" fontId="0" fillId="2" borderId="0" xfId="0" applyFill="1" applyBorder="1" applyAlignment="1" applyProtection="1">
      <protection locked="0"/>
    </xf>
    <xf numFmtId="0" fontId="90" fillId="2" borderId="0" xfId="0" applyFont="1" applyFill="1" applyProtection="1">
      <protection locked="0"/>
    </xf>
    <xf numFmtId="0" fontId="30" fillId="2" borderId="0" xfId="0" applyFont="1" applyFill="1" applyProtection="1">
      <protection locked="0"/>
    </xf>
    <xf numFmtId="0" fontId="29" fillId="2" borderId="0" xfId="0" applyFont="1" applyFill="1" applyProtection="1">
      <protection locked="0"/>
    </xf>
    <xf numFmtId="0" fontId="107" fillId="67" borderId="13" xfId="0" applyFont="1" applyFill="1" applyBorder="1" applyAlignment="1" applyProtection="1">
      <alignment horizontal="center"/>
      <protection locked="0"/>
    </xf>
    <xf numFmtId="0" fontId="107" fillId="67" borderId="14" xfId="0" applyFont="1" applyFill="1" applyBorder="1" applyAlignment="1" applyProtection="1">
      <alignment horizontal="center"/>
      <protection locked="0"/>
    </xf>
    <xf numFmtId="0" fontId="36" fillId="6" borderId="8" xfId="0" applyFont="1" applyFill="1" applyBorder="1" applyProtection="1">
      <protection locked="0"/>
    </xf>
    <xf numFmtId="0" fontId="15" fillId="2" borderId="11" xfId="0" applyFont="1" applyFill="1" applyBorder="1" applyProtection="1">
      <protection locked="0"/>
    </xf>
    <xf numFmtId="0" fontId="15" fillId="2" borderId="4" xfId="0" applyFont="1" applyFill="1" applyBorder="1" applyProtection="1">
      <protection locked="0"/>
    </xf>
    <xf numFmtId="0" fontId="20" fillId="2" borderId="0" xfId="0" applyFont="1" applyFill="1" applyProtection="1">
      <protection locked="0"/>
    </xf>
    <xf numFmtId="9" fontId="0" fillId="5" borderId="2" xfId="301" applyFont="1" applyFill="1" applyBorder="1" applyAlignment="1" applyProtection="1">
      <alignment horizontal="center"/>
      <protection locked="0"/>
    </xf>
    <xf numFmtId="0" fontId="36" fillId="6" borderId="13" xfId="0" applyFont="1" applyFill="1" applyBorder="1" applyProtection="1">
      <protection locked="0"/>
    </xf>
    <xf numFmtId="0" fontId="0" fillId="2" borderId="0" xfId="0" applyFont="1" applyFill="1" applyProtection="1">
      <protection locked="0"/>
    </xf>
    <xf numFmtId="0" fontId="0" fillId="2" borderId="11" xfId="0" applyFont="1" applyFill="1" applyBorder="1" applyAlignment="1" applyProtection="1">
      <protection locked="0"/>
    </xf>
    <xf numFmtId="0" fontId="0" fillId="2" borderId="4" xfId="0" applyFont="1" applyFill="1" applyBorder="1" applyAlignment="1" applyProtection="1">
      <protection locked="0"/>
    </xf>
    <xf numFmtId="9" fontId="0" fillId="5" borderId="15" xfId="301" applyFont="1" applyFill="1" applyBorder="1" applyAlignment="1" applyProtection="1">
      <alignment horizontal="center"/>
      <protection locked="0"/>
    </xf>
    <xf numFmtId="9" fontId="0" fillId="61" borderId="3" xfId="301" applyFont="1" applyFill="1" applyBorder="1" applyAlignment="1" applyProtection="1">
      <alignment horizontal="center"/>
      <protection locked="0"/>
    </xf>
    <xf numFmtId="9" fontId="0" fillId="5" borderId="3" xfId="301" applyFont="1" applyFill="1" applyBorder="1" applyAlignment="1" applyProtection="1">
      <alignment horizontal="center"/>
      <protection locked="0"/>
    </xf>
    <xf numFmtId="0" fontId="0" fillId="2" borderId="0" xfId="0" applyFont="1" applyFill="1" applyBorder="1" applyProtection="1">
      <protection locked="0"/>
    </xf>
    <xf numFmtId="9" fontId="0" fillId="61" borderId="2" xfId="301" applyFont="1" applyFill="1" applyBorder="1" applyAlignment="1" applyProtection="1">
      <alignment horizontal="center"/>
      <protection locked="0"/>
    </xf>
    <xf numFmtId="0" fontId="36" fillId="6" borderId="6" xfId="0" applyFont="1" applyFill="1" applyBorder="1" applyProtection="1">
      <protection locked="0"/>
    </xf>
    <xf numFmtId="0" fontId="36" fillId="6" borderId="14" xfId="0" applyFont="1" applyFill="1" applyBorder="1" applyProtection="1">
      <protection locked="0"/>
    </xf>
    <xf numFmtId="0" fontId="36" fillId="6" borderId="1" xfId="0" applyFont="1" applyFill="1" applyBorder="1" applyProtection="1">
      <protection locked="0"/>
    </xf>
    <xf numFmtId="0" fontId="36" fillId="6" borderId="5" xfId="0" applyFont="1" applyFill="1" applyBorder="1" applyProtection="1">
      <protection locked="0"/>
    </xf>
    <xf numFmtId="0" fontId="0" fillId="2" borderId="8" xfId="0" applyFont="1" applyFill="1" applyBorder="1" applyProtection="1">
      <protection locked="0"/>
    </xf>
    <xf numFmtId="0" fontId="0" fillId="2" borderId="14" xfId="0" applyFont="1" applyFill="1" applyBorder="1" applyAlignment="1" applyProtection="1">
      <protection locked="0"/>
    </xf>
    <xf numFmtId="9" fontId="0" fillId="61" borderId="7" xfId="301" applyFont="1" applyFill="1" applyBorder="1" applyAlignment="1" applyProtection="1">
      <alignment horizontal="center"/>
      <protection locked="0"/>
    </xf>
    <xf numFmtId="0" fontId="0" fillId="3" borderId="11" xfId="0" applyFont="1" applyFill="1" applyBorder="1" applyAlignment="1" applyProtection="1">
      <alignment horizontal="center"/>
    </xf>
    <xf numFmtId="9" fontId="0" fillId="3" borderId="11" xfId="301" applyFont="1" applyFill="1" applyBorder="1" applyAlignment="1" applyProtection="1">
      <alignment horizontal="center"/>
    </xf>
    <xf numFmtId="9" fontId="0" fillId="3" borderId="8" xfId="301" applyFont="1" applyFill="1" applyBorder="1" applyAlignment="1" applyProtection="1">
      <alignment horizontal="center"/>
    </xf>
    <xf numFmtId="0" fontId="19" fillId="2" borderId="0" xfId="0" applyFont="1" applyFill="1" applyBorder="1" applyAlignment="1" applyProtection="1">
      <alignment horizontal="right"/>
      <protection locked="0"/>
    </xf>
    <xf numFmtId="38" fontId="90" fillId="2" borderId="0" xfId="0" applyNumberFormat="1" applyFont="1" applyFill="1" applyProtection="1">
      <protection locked="0"/>
    </xf>
    <xf numFmtId="0" fontId="21" fillId="2" borderId="0" xfId="0" applyFont="1" applyFill="1" applyProtection="1">
      <protection locked="0"/>
    </xf>
    <xf numFmtId="0" fontId="15" fillId="3" borderId="10" xfId="0" applyFont="1" applyFill="1" applyBorder="1" applyAlignment="1" applyProtection="1">
      <protection locked="0"/>
    </xf>
    <xf numFmtId="0" fontId="15" fillId="3" borderId="9" xfId="0" applyFont="1" applyFill="1" applyBorder="1" applyAlignment="1" applyProtection="1">
      <protection locked="0"/>
    </xf>
    <xf numFmtId="0" fontId="4" fillId="3" borderId="6" xfId="0" applyFont="1" applyFill="1" applyBorder="1" applyProtection="1">
      <protection locked="0"/>
    </xf>
    <xf numFmtId="0" fontId="4" fillId="3" borderId="1" xfId="0" applyFont="1" applyFill="1" applyBorder="1" applyProtection="1">
      <protection locked="0"/>
    </xf>
    <xf numFmtId="0" fontId="4" fillId="3" borderId="1" xfId="0" applyFont="1" applyFill="1" applyBorder="1" applyAlignment="1" applyProtection="1">
      <alignment horizontal="center"/>
      <protection locked="0"/>
    </xf>
    <xf numFmtId="168" fontId="93" fillId="3" borderId="8" xfId="0" applyNumberFormat="1" applyFont="1" applyFill="1" applyBorder="1" applyProtection="1">
      <protection locked="0"/>
    </xf>
    <xf numFmtId="168" fontId="93" fillId="3" borderId="13" xfId="0" applyNumberFormat="1" applyFont="1" applyFill="1" applyBorder="1" applyProtection="1">
      <protection locked="0"/>
    </xf>
    <xf numFmtId="168" fontId="93" fillId="3" borderId="13" xfId="0" applyNumberFormat="1" applyFont="1" applyFill="1" applyBorder="1" applyAlignment="1" applyProtection="1">
      <alignment horizontal="center"/>
      <protection locked="0"/>
    </xf>
    <xf numFmtId="168" fontId="93" fillId="3" borderId="6" xfId="0" applyNumberFormat="1" applyFont="1" applyFill="1" applyBorder="1" applyProtection="1">
      <protection locked="0"/>
    </xf>
    <xf numFmtId="168" fontId="93" fillId="3" borderId="1" xfId="0" applyNumberFormat="1" applyFont="1" applyFill="1" applyBorder="1" applyProtection="1">
      <protection locked="0"/>
    </xf>
    <xf numFmtId="168" fontId="93" fillId="3" borderId="1" xfId="0" applyNumberFormat="1" applyFont="1" applyFill="1" applyBorder="1" applyAlignment="1" applyProtection="1">
      <alignment horizontal="center"/>
      <protection locked="0"/>
    </xf>
    <xf numFmtId="0" fontId="19" fillId="2" borderId="0" xfId="0" applyFont="1" applyFill="1" applyBorder="1" applyAlignment="1" applyProtection="1">
      <alignment horizontal="left"/>
      <protection locked="0"/>
    </xf>
    <xf numFmtId="167" fontId="29" fillId="3" borderId="15" xfId="300" applyNumberFormat="1" applyFont="1" applyFill="1" applyBorder="1" applyProtection="1">
      <protection locked="0"/>
    </xf>
    <xf numFmtId="167" fontId="29" fillId="3" borderId="9" xfId="300" applyNumberFormat="1" applyFont="1" applyFill="1" applyBorder="1" applyProtection="1">
      <protection locked="0"/>
    </xf>
    <xf numFmtId="167" fontId="29" fillId="3" borderId="3" xfId="300" applyNumberFormat="1" applyFont="1" applyFill="1" applyBorder="1" applyProtection="1">
      <protection locked="0"/>
    </xf>
    <xf numFmtId="167" fontId="29" fillId="3" borderId="0" xfId="300" applyNumberFormat="1" applyFont="1" applyFill="1" applyBorder="1" applyProtection="1">
      <protection locked="0"/>
    </xf>
    <xf numFmtId="167" fontId="29" fillId="3" borderId="2" xfId="300" applyNumberFormat="1" applyFont="1" applyFill="1" applyBorder="1" applyProtection="1">
      <protection locked="0"/>
    </xf>
    <xf numFmtId="167" fontId="29" fillId="3" borderId="1" xfId="300" applyNumberFormat="1" applyFont="1" applyFill="1" applyBorder="1" applyProtection="1">
      <protection locked="0"/>
    </xf>
    <xf numFmtId="8" fontId="0" fillId="2" borderId="0" xfId="0" applyNumberFormat="1" applyFill="1" applyProtection="1">
      <protection locked="0"/>
    </xf>
    <xf numFmtId="0" fontId="21" fillId="2" borderId="10" xfId="0" applyFont="1" applyFill="1" applyBorder="1" applyProtection="1">
      <protection locked="0"/>
    </xf>
    <xf numFmtId="3" fontId="0" fillId="2" borderId="3" xfId="300" applyNumberFormat="1" applyFont="1" applyFill="1" applyBorder="1" applyAlignment="1" applyProtection="1">
      <alignment horizontal="center"/>
      <protection locked="0"/>
    </xf>
    <xf numFmtId="0" fontId="21" fillId="2" borderId="11" xfId="0" applyFont="1" applyFill="1" applyBorder="1" applyProtection="1">
      <protection locked="0"/>
    </xf>
    <xf numFmtId="167" fontId="23" fillId="2" borderId="0" xfId="300" applyNumberFormat="1" applyFont="1" applyFill="1" applyBorder="1" applyProtection="1">
      <protection locked="0"/>
    </xf>
    <xf numFmtId="3" fontId="0" fillId="2" borderId="2" xfId="300" applyNumberFormat="1" applyFont="1" applyFill="1" applyBorder="1" applyAlignment="1" applyProtection="1">
      <alignment horizontal="center"/>
      <protection locked="0"/>
    </xf>
    <xf numFmtId="0" fontId="21" fillId="2" borderId="6" xfId="0" applyFont="1" applyFill="1" applyBorder="1" applyProtection="1">
      <protection locked="0"/>
    </xf>
    <xf numFmtId="3" fontId="0" fillId="2" borderId="0" xfId="300" applyNumberFormat="1" applyFont="1" applyFill="1" applyBorder="1" applyAlignment="1" applyProtection="1">
      <alignment horizontal="center"/>
      <protection locked="0"/>
    </xf>
    <xf numFmtId="0" fontId="18" fillId="2" borderId="10" xfId="0" applyFont="1" applyFill="1" applyBorder="1" applyProtection="1">
      <protection locked="0"/>
    </xf>
    <xf numFmtId="167" fontId="0" fillId="2" borderId="9" xfId="300" applyNumberFormat="1" applyFont="1" applyFill="1" applyBorder="1" applyProtection="1">
      <protection locked="0"/>
    </xf>
    <xf numFmtId="0" fontId="18" fillId="2" borderId="11" xfId="0" applyFont="1" applyFill="1" applyBorder="1" applyProtection="1">
      <protection locked="0"/>
    </xf>
    <xf numFmtId="3" fontId="18" fillId="2" borderId="11" xfId="300" applyNumberFormat="1" applyFont="1" applyFill="1" applyBorder="1" applyAlignment="1" applyProtection="1">
      <alignment horizontal="center"/>
      <protection locked="0"/>
    </xf>
    <xf numFmtId="167" fontId="0" fillId="2" borderId="11" xfId="300" applyNumberFormat="1" applyFont="1" applyFill="1" applyBorder="1" applyProtection="1">
      <protection locked="0"/>
    </xf>
    <xf numFmtId="167" fontId="0" fillId="2" borderId="0" xfId="300" applyNumberFormat="1" applyFont="1" applyFill="1" applyBorder="1" applyProtection="1">
      <protection locked="0"/>
    </xf>
    <xf numFmtId="167" fontId="26" fillId="2" borderId="11" xfId="300" applyNumberFormat="1" applyFont="1" applyFill="1" applyBorder="1" applyProtection="1">
      <protection locked="0"/>
    </xf>
    <xf numFmtId="167" fontId="26" fillId="2" borderId="0" xfId="300" applyNumberFormat="1" applyFont="1" applyFill="1" applyBorder="1" applyProtection="1">
      <protection locked="0"/>
    </xf>
    <xf numFmtId="0" fontId="18" fillId="2" borderId="6" xfId="0" applyFont="1" applyFill="1" applyBorder="1" applyProtection="1">
      <protection locked="0"/>
    </xf>
    <xf numFmtId="3" fontId="18" fillId="2" borderId="6" xfId="300" applyNumberFormat="1" applyFont="1" applyFill="1" applyBorder="1" applyAlignment="1" applyProtection="1">
      <alignment horizontal="center"/>
      <protection locked="0"/>
    </xf>
    <xf numFmtId="167" fontId="26" fillId="2" borderId="6" xfId="300" applyNumberFormat="1" applyFont="1" applyFill="1" applyBorder="1" applyProtection="1">
      <protection locked="0"/>
    </xf>
    <xf numFmtId="167" fontId="26" fillId="2" borderId="1" xfId="300" applyNumberFormat="1" applyFont="1" applyFill="1" applyBorder="1" applyProtection="1">
      <protection locked="0"/>
    </xf>
    <xf numFmtId="167" fontId="0" fillId="2" borderId="1" xfId="300" applyNumberFormat="1" applyFont="1" applyFill="1" applyBorder="1" applyProtection="1">
      <protection locked="0"/>
    </xf>
    <xf numFmtId="0" fontId="24" fillId="2" borderId="0" xfId="0" applyFont="1" applyFill="1" applyBorder="1" applyProtection="1">
      <protection locked="0"/>
    </xf>
    <xf numFmtId="3" fontId="24" fillId="2" borderId="0" xfId="0" applyNumberFormat="1" applyFont="1" applyFill="1" applyBorder="1" applyAlignment="1" applyProtection="1">
      <alignment horizontal="center"/>
      <protection locked="0"/>
    </xf>
    <xf numFmtId="169" fontId="29" fillId="2" borderId="11" xfId="301" applyNumberFormat="1" applyFont="1" applyFill="1" applyBorder="1" applyProtection="1">
      <protection locked="0"/>
    </xf>
    <xf numFmtId="169" fontId="30" fillId="2" borderId="3" xfId="301" applyNumberFormat="1" applyFont="1" applyFill="1" applyBorder="1" applyProtection="1">
      <protection locked="0"/>
    </xf>
    <xf numFmtId="169" fontId="30" fillId="2" borderId="0" xfId="301" applyNumberFormat="1" applyFont="1" applyFill="1" applyBorder="1" applyProtection="1">
      <protection locked="0"/>
    </xf>
    <xf numFmtId="167" fontId="18" fillId="2" borderId="11" xfId="300" applyNumberFormat="1" applyFont="1" applyFill="1" applyBorder="1" applyProtection="1">
      <protection locked="0"/>
    </xf>
    <xf numFmtId="0" fontId="21" fillId="2" borderId="13" xfId="0" applyFont="1" applyFill="1" applyBorder="1" applyProtection="1">
      <protection locked="0"/>
    </xf>
    <xf numFmtId="0" fontId="22" fillId="2" borderId="8" xfId="0" applyFont="1" applyFill="1" applyBorder="1" applyProtection="1">
      <protection locked="0"/>
    </xf>
    <xf numFmtId="167" fontId="0" fillId="2" borderId="0" xfId="0" applyNumberFormat="1" applyFill="1" applyProtection="1">
      <protection locked="0"/>
    </xf>
    <xf numFmtId="0" fontId="0" fillId="2" borderId="0" xfId="0" applyFill="1" applyAlignment="1" applyProtection="1">
      <protection locked="0"/>
    </xf>
    <xf numFmtId="6" fontId="17" fillId="3" borderId="7" xfId="0" applyNumberFormat="1" applyFont="1" applyFill="1" applyBorder="1" applyAlignment="1" applyProtection="1">
      <alignment horizontal="center"/>
      <protection locked="0"/>
    </xf>
    <xf numFmtId="0" fontId="89" fillId="2" borderId="0" xfId="0" applyFont="1" applyFill="1" applyBorder="1" applyProtection="1">
      <protection locked="0"/>
    </xf>
    <xf numFmtId="167" fontId="30" fillId="2" borderId="0" xfId="300" applyNumberFormat="1" applyFont="1" applyFill="1" applyProtection="1">
      <protection locked="0"/>
    </xf>
    <xf numFmtId="166" fontId="30" fillId="2" borderId="0" xfId="300" applyNumberFormat="1" applyFont="1" applyFill="1" applyProtection="1">
      <protection locked="0"/>
    </xf>
    <xf numFmtId="10" fontId="0" fillId="2" borderId="0" xfId="0" applyNumberFormat="1" applyFill="1" applyProtection="1">
      <protection locked="0"/>
    </xf>
    <xf numFmtId="184" fontId="0" fillId="2" borderId="0" xfId="0" applyNumberFormat="1" applyFill="1" applyProtection="1">
      <protection locked="0"/>
    </xf>
    <xf numFmtId="170" fontId="0" fillId="2" borderId="0" xfId="8010" applyNumberFormat="1" applyFont="1" applyFill="1" applyBorder="1" applyProtection="1">
      <protection locked="0"/>
    </xf>
    <xf numFmtId="0" fontId="0" fillId="2" borderId="0" xfId="0" applyFill="1" applyBorder="1" applyAlignment="1" applyProtection="1">
      <alignment horizontal="right"/>
      <protection locked="0"/>
    </xf>
    <xf numFmtId="0" fontId="19" fillId="2" borderId="0" xfId="0" applyFont="1" applyFill="1" applyAlignment="1" applyProtection="1">
      <alignment horizontal="left"/>
      <protection locked="0"/>
    </xf>
    <xf numFmtId="0" fontId="19" fillId="2" borderId="0" xfId="0" applyFont="1" applyFill="1" applyProtection="1">
      <protection locked="0"/>
    </xf>
    <xf numFmtId="168" fontId="93" fillId="3" borderId="13" xfId="0" applyNumberFormat="1" applyFont="1" applyFill="1" applyBorder="1" applyAlignment="1" applyProtection="1">
      <alignment horizontal="center"/>
    </xf>
    <xf numFmtId="168" fontId="93" fillId="3" borderId="1" xfId="0" applyNumberFormat="1" applyFont="1" applyFill="1" applyBorder="1" applyAlignment="1" applyProtection="1">
      <alignment horizontal="center"/>
    </xf>
    <xf numFmtId="167" fontId="29" fillId="3" borderId="9" xfId="300" applyNumberFormat="1" applyFont="1" applyFill="1" applyBorder="1" applyProtection="1"/>
    <xf numFmtId="167" fontId="29" fillId="3" borderId="0" xfId="300" applyNumberFormat="1" applyFont="1" applyFill="1" applyBorder="1" applyProtection="1"/>
    <xf numFmtId="167" fontId="29" fillId="3" borderId="1" xfId="300" applyNumberFormat="1" applyFont="1" applyFill="1" applyBorder="1" applyProtection="1"/>
    <xf numFmtId="186" fontId="29" fillId="3" borderId="15" xfId="300" applyNumberFormat="1" applyFont="1" applyFill="1" applyBorder="1" applyAlignment="1" applyProtection="1">
      <alignment horizontal="center"/>
    </xf>
    <xf numFmtId="186" fontId="29" fillId="3" borderId="3" xfId="300" applyNumberFormat="1" applyFont="1" applyFill="1" applyBorder="1" applyAlignment="1" applyProtection="1">
      <alignment horizontal="center"/>
    </xf>
    <xf numFmtId="186" fontId="29" fillId="3" borderId="2" xfId="300" applyNumberFormat="1" applyFont="1" applyFill="1" applyBorder="1" applyAlignment="1" applyProtection="1">
      <alignment horizontal="center"/>
    </xf>
    <xf numFmtId="3" fontId="0" fillId="2" borderId="15" xfId="300" applyNumberFormat="1" applyFont="1" applyFill="1" applyBorder="1" applyAlignment="1" applyProtection="1">
      <alignment horizontal="center"/>
    </xf>
    <xf numFmtId="167" fontId="23" fillId="2" borderId="9" xfId="300" applyNumberFormat="1" applyFont="1" applyFill="1" applyBorder="1" applyProtection="1"/>
    <xf numFmtId="167" fontId="23" fillId="2" borderId="0" xfId="300" applyNumberFormat="1" applyFont="1" applyFill="1" applyBorder="1" applyProtection="1"/>
    <xf numFmtId="167" fontId="23" fillId="2" borderId="1" xfId="300" applyNumberFormat="1" applyFont="1" applyFill="1" applyBorder="1" applyProtection="1"/>
    <xf numFmtId="3" fontId="0" fillId="2" borderId="2" xfId="300" applyNumberFormat="1" applyFont="1" applyFill="1" applyBorder="1" applyAlignment="1" applyProtection="1">
      <alignment horizontal="center"/>
    </xf>
    <xf numFmtId="167" fontId="0" fillId="2" borderId="9" xfId="300" applyNumberFormat="1" applyFont="1" applyFill="1" applyBorder="1" applyProtection="1"/>
    <xf numFmtId="167" fontId="0" fillId="2" borderId="0" xfId="300" applyNumberFormat="1" applyFont="1" applyFill="1" applyBorder="1" applyProtection="1"/>
    <xf numFmtId="3" fontId="18" fillId="2" borderId="10" xfId="300" applyNumberFormat="1" applyFont="1" applyFill="1" applyBorder="1" applyAlignment="1" applyProtection="1">
      <alignment horizontal="center"/>
    </xf>
    <xf numFmtId="3" fontId="18" fillId="2" borderId="11" xfId="300" applyNumberFormat="1" applyFont="1" applyFill="1" applyBorder="1" applyAlignment="1" applyProtection="1">
      <alignment horizontal="center"/>
    </xf>
    <xf numFmtId="3" fontId="24" fillId="2" borderId="15" xfId="0" applyNumberFormat="1" applyFont="1" applyFill="1" applyBorder="1" applyAlignment="1" applyProtection="1">
      <alignment horizontal="center"/>
    </xf>
    <xf numFmtId="3" fontId="0" fillId="2" borderId="3" xfId="300" applyNumberFormat="1" applyFont="1" applyFill="1" applyBorder="1" applyAlignment="1" applyProtection="1">
      <alignment horizontal="center"/>
    </xf>
    <xf numFmtId="169" fontId="30" fillId="2" borderId="0" xfId="301" applyNumberFormat="1" applyFont="1" applyFill="1" applyBorder="1" applyProtection="1"/>
    <xf numFmtId="167" fontId="30" fillId="2" borderId="0" xfId="300" applyNumberFormat="1" applyFont="1" applyFill="1" applyBorder="1" applyProtection="1"/>
    <xf numFmtId="167" fontId="0" fillId="2" borderId="3" xfId="300" applyNumberFormat="1" applyFont="1" applyFill="1" applyBorder="1" applyAlignment="1" applyProtection="1">
      <alignment horizontal="center"/>
    </xf>
    <xf numFmtId="167" fontId="0" fillId="2" borderId="13" xfId="300" applyNumberFormat="1" applyFont="1" applyFill="1" applyBorder="1" applyAlignment="1" applyProtection="1">
      <alignment horizontal="center"/>
    </xf>
    <xf numFmtId="169" fontId="19" fillId="3" borderId="7" xfId="301" applyNumberFormat="1" applyFont="1" applyFill="1" applyBorder="1" applyAlignment="1" applyProtection="1">
      <alignment horizontal="center"/>
    </xf>
    <xf numFmtId="0" fontId="22" fillId="2" borderId="8" xfId="0" applyFont="1" applyFill="1" applyBorder="1" applyProtection="1"/>
    <xf numFmtId="6" fontId="17" fillId="3" borderId="2" xfId="0" applyNumberFormat="1" applyFont="1" applyFill="1" applyBorder="1" applyAlignment="1" applyProtection="1">
      <alignment horizontal="center"/>
    </xf>
    <xf numFmtId="169" fontId="17" fillId="2" borderId="7" xfId="301" applyNumberFormat="1" applyFont="1" applyFill="1" applyBorder="1" applyAlignment="1" applyProtection="1">
      <alignment horizontal="center"/>
    </xf>
    <xf numFmtId="9" fontId="30" fillId="2" borderId="0" xfId="301" applyFont="1" applyFill="1" applyProtection="1"/>
    <xf numFmtId="167" fontId="30" fillId="2" borderId="0" xfId="300" applyNumberFormat="1" applyFont="1" applyFill="1" applyProtection="1"/>
    <xf numFmtId="10" fontId="30" fillId="3" borderId="64" xfId="301" applyNumberFormat="1" applyFont="1" applyFill="1" applyBorder="1" applyProtection="1"/>
    <xf numFmtId="170" fontId="30" fillId="2" borderId="64" xfId="8010" applyNumberFormat="1" applyFont="1" applyFill="1" applyBorder="1" applyAlignment="1" applyProtection="1">
      <alignment horizontal="center" wrapText="1"/>
    </xf>
    <xf numFmtId="43" fontId="30" fillId="2" borderId="64" xfId="300" applyFont="1" applyFill="1" applyBorder="1" applyAlignment="1" applyProtection="1">
      <alignment horizontal="center" wrapText="1"/>
    </xf>
    <xf numFmtId="0" fontId="30" fillId="2" borderId="64" xfId="0" applyFont="1" applyFill="1" applyBorder="1" applyAlignment="1" applyProtection="1">
      <alignment horizontal="right"/>
    </xf>
    <xf numFmtId="9" fontId="30" fillId="2" borderId="64" xfId="301" applyFont="1" applyFill="1" applyBorder="1" applyAlignment="1" applyProtection="1">
      <alignment horizontal="center"/>
    </xf>
    <xf numFmtId="170" fontId="30" fillId="3" borderId="64" xfId="301" applyNumberFormat="1" applyFont="1" applyFill="1" applyBorder="1" applyProtection="1"/>
    <xf numFmtId="170" fontId="30" fillId="2" borderId="64" xfId="301" applyNumberFormat="1" applyFont="1" applyFill="1" applyBorder="1" applyAlignment="1" applyProtection="1">
      <alignment horizontal="center"/>
    </xf>
    <xf numFmtId="0" fontId="19" fillId="2" borderId="0" xfId="0" applyFont="1" applyFill="1" applyProtection="1"/>
    <xf numFmtId="169" fontId="30" fillId="3" borderId="64" xfId="301" applyNumberFormat="1" applyFont="1" applyFill="1" applyBorder="1" applyProtection="1"/>
    <xf numFmtId="169" fontId="30" fillId="2" borderId="64" xfId="301" applyNumberFormat="1" applyFont="1" applyFill="1" applyBorder="1" applyAlignment="1" applyProtection="1">
      <alignment horizontal="center"/>
    </xf>
    <xf numFmtId="1" fontId="30" fillId="3" borderId="64" xfId="301" applyNumberFormat="1" applyFont="1" applyFill="1" applyBorder="1" applyProtection="1"/>
    <xf numFmtId="1" fontId="30" fillId="2" borderId="64" xfId="301" applyNumberFormat="1" applyFont="1" applyFill="1" applyBorder="1" applyAlignment="1" applyProtection="1">
      <alignment horizontal="center"/>
    </xf>
    <xf numFmtId="169" fontId="18" fillId="61" borderId="10" xfId="0" applyNumberFormat="1" applyFont="1" applyFill="1" applyBorder="1" applyProtection="1">
      <protection locked="0"/>
    </xf>
    <xf numFmtId="169" fontId="18" fillId="61" borderId="9" xfId="0" applyNumberFormat="1" applyFont="1" applyFill="1" applyBorder="1" applyProtection="1">
      <protection locked="0"/>
    </xf>
    <xf numFmtId="0" fontId="4" fillId="3" borderId="9" xfId="0" applyFont="1" applyFill="1" applyBorder="1" applyAlignment="1" applyProtection="1">
      <alignment horizontal="center"/>
    </xf>
    <xf numFmtId="0" fontId="111" fillId="0" borderId="0" xfId="0" applyFont="1"/>
    <xf numFmtId="0" fontId="21" fillId="2" borderId="0" xfId="0" applyFont="1" applyFill="1" applyAlignment="1" applyProtection="1">
      <alignment horizontal="center" vertical="center"/>
    </xf>
    <xf numFmtId="0" fontId="21" fillId="2" borderId="0" xfId="0" applyFont="1" applyFill="1" applyAlignment="1" applyProtection="1">
      <alignment horizontal="center" vertical="center" wrapText="1"/>
    </xf>
    <xf numFmtId="191" fontId="0" fillId="6" borderId="7" xfId="301" applyNumberFormat="1" applyFont="1" applyFill="1" applyBorder="1" applyAlignment="1">
      <alignment horizontal="right"/>
    </xf>
    <xf numFmtId="0" fontId="22" fillId="2" borderId="0" xfId="0" applyFont="1" applyFill="1" applyAlignment="1" applyProtection="1">
      <alignment vertical="center"/>
      <protection locked="0"/>
    </xf>
    <xf numFmtId="0" fontId="24" fillId="2" borderId="0" xfId="0" applyFont="1" applyFill="1" applyAlignment="1" applyProtection="1">
      <alignment horizontal="left" vertical="center"/>
      <protection locked="0"/>
    </xf>
    <xf numFmtId="0" fontId="26" fillId="2" borderId="0" xfId="0" applyFont="1" applyFill="1" applyAlignment="1" applyProtection="1">
      <alignment horizontal="center" vertical="center" wrapText="1"/>
      <protection locked="0"/>
    </xf>
    <xf numFmtId="42" fontId="0" fillId="2" borderId="62" xfId="0" applyNumberFormat="1" applyFill="1" applyBorder="1" applyProtection="1"/>
    <xf numFmtId="42" fontId="0" fillId="2" borderId="5" xfId="0" applyNumberFormat="1" applyFill="1" applyBorder="1" applyProtection="1"/>
    <xf numFmtId="42" fontId="15" fillId="2" borderId="14" xfId="0" applyNumberFormat="1" applyFont="1" applyFill="1" applyBorder="1" applyProtection="1"/>
    <xf numFmtId="42" fontId="15" fillId="61" borderId="62" xfId="0" applyNumberFormat="1" applyFont="1" applyFill="1" applyBorder="1" applyProtection="1"/>
    <xf numFmtId="42" fontId="15" fillId="2" borderId="4" xfId="0" applyNumberFormat="1" applyFont="1" applyFill="1" applyBorder="1" applyProtection="1"/>
    <xf numFmtId="0" fontId="114" fillId="3" borderId="0" xfId="8705" applyFont="1" applyFill="1"/>
    <xf numFmtId="0" fontId="115" fillId="3" borderId="0" xfId="8705" applyFont="1" applyFill="1"/>
    <xf numFmtId="0" fontId="116" fillId="3" borderId="0" xfId="8705" applyFont="1" applyFill="1"/>
    <xf numFmtId="0" fontId="117" fillId="3" borderId="0" xfId="8705" applyFont="1" applyFill="1"/>
    <xf numFmtId="0" fontId="115" fillId="3" borderId="8" xfId="8705" applyFont="1" applyFill="1" applyBorder="1"/>
    <xf numFmtId="0" fontId="115" fillId="3" borderId="13" xfId="8705" applyFont="1" applyFill="1" applyBorder="1"/>
    <xf numFmtId="0" fontId="115" fillId="3" borderId="13" xfId="8705" applyFont="1" applyFill="1" applyBorder="1" applyAlignment="1">
      <alignment horizontal="center"/>
    </xf>
    <xf numFmtId="0" fontId="115" fillId="3" borderId="14" xfId="8705" applyFont="1" applyFill="1" applyBorder="1" applyAlignment="1">
      <alignment horizontal="center"/>
    </xf>
    <xf numFmtId="0" fontId="115" fillId="2" borderId="8" xfId="8705" quotePrefix="1" applyFont="1" applyFill="1" applyBorder="1"/>
    <xf numFmtId="0" fontId="115" fillId="2" borderId="13" xfId="8705" applyFont="1" applyFill="1" applyBorder="1"/>
    <xf numFmtId="0" fontId="115" fillId="2" borderId="13" xfId="8705" applyFont="1" applyFill="1" applyBorder="1" applyAlignment="1">
      <alignment horizontal="center"/>
    </xf>
    <xf numFmtId="14" fontId="115" fillId="2" borderId="13" xfId="8705" applyNumberFormat="1" applyFont="1" applyFill="1" applyBorder="1" applyAlignment="1">
      <alignment horizontal="center"/>
    </xf>
    <xf numFmtId="0" fontId="115" fillId="2" borderId="14" xfId="8705" applyFont="1" applyFill="1" applyBorder="1" applyAlignment="1">
      <alignment horizontal="center"/>
    </xf>
    <xf numFmtId="14" fontId="115" fillId="2" borderId="13" xfId="8705" applyNumberFormat="1" applyFont="1" applyFill="1" applyBorder="1"/>
    <xf numFmtId="0" fontId="115" fillId="2" borderId="14" xfId="8705" applyFont="1" applyFill="1" applyBorder="1"/>
    <xf numFmtId="0" fontId="0" fillId="61" borderId="2" xfId="0" applyFont="1" applyFill="1" applyBorder="1" applyAlignment="1">
      <alignment horizontal="center"/>
    </xf>
    <xf numFmtId="9" fontId="26" fillId="2" borderId="7" xfId="301" applyFont="1" applyFill="1" applyBorder="1"/>
    <xf numFmtId="0" fontId="90" fillId="61" borderId="8" xfId="0" applyFont="1" applyFill="1" applyBorder="1" applyAlignment="1" applyProtection="1">
      <alignment horizontal="center" vertical="center"/>
      <protection locked="0"/>
    </xf>
    <xf numFmtId="0" fontId="90" fillId="61" borderId="13" xfId="0" applyFont="1" applyFill="1" applyBorder="1" applyAlignment="1" applyProtection="1">
      <alignment horizontal="center" vertical="center"/>
      <protection locked="0"/>
    </xf>
    <xf numFmtId="0" fontId="109" fillId="61" borderId="13" xfId="0" quotePrefix="1" applyFont="1" applyFill="1" applyBorder="1" applyAlignment="1" applyProtection="1">
      <alignment horizontal="center" vertical="center" wrapText="1"/>
      <protection locked="0"/>
    </xf>
    <xf numFmtId="0" fontId="109" fillId="61" borderId="14" xfId="0" quotePrefix="1" applyFont="1" applyFill="1" applyBorder="1" applyAlignment="1" applyProtection="1">
      <alignment horizontal="center" vertical="center" wrapText="1"/>
      <protection locked="0"/>
    </xf>
    <xf numFmtId="42" fontId="15" fillId="2" borderId="10" xfId="0" applyNumberFormat="1" applyFont="1" applyFill="1" applyBorder="1" applyProtection="1"/>
    <xf numFmtId="42" fontId="15" fillId="2" borderId="9" xfId="0" applyNumberFormat="1" applyFont="1" applyFill="1" applyBorder="1" applyProtection="1"/>
    <xf numFmtId="42" fontId="15" fillId="2" borderId="9" xfId="0" applyNumberFormat="1" applyFont="1" applyFill="1" applyBorder="1" applyProtection="1">
      <protection locked="0"/>
    </xf>
    <xf numFmtId="42" fontId="15" fillId="2" borderId="62" xfId="0" applyNumberFormat="1" applyFont="1" applyFill="1" applyBorder="1" applyProtection="1">
      <protection locked="0"/>
    </xf>
    <xf numFmtId="0" fontId="19" fillId="0" borderId="0" xfId="0" applyFont="1"/>
    <xf numFmtId="49" fontId="0" fillId="0" borderId="0" xfId="0" applyNumberFormat="1"/>
    <xf numFmtId="0" fontId="0" fillId="0" borderId="0" xfId="0" applyAlignment="1">
      <alignment horizontal="right"/>
    </xf>
    <xf numFmtId="1" fontId="0" fillId="2" borderId="7" xfId="301" applyNumberFormat="1" applyFont="1" applyFill="1" applyBorder="1" applyAlignment="1">
      <alignment horizontal="center"/>
    </xf>
    <xf numFmtId="169" fontId="0" fillId="61" borderId="7" xfId="301" applyNumberFormat="1" applyFont="1" applyFill="1" applyBorder="1" applyAlignment="1">
      <alignment horizontal="center"/>
    </xf>
    <xf numFmtId="167" fontId="15" fillId="2" borderId="6" xfId="300" applyNumberFormat="1" applyFont="1" applyFill="1" applyBorder="1" applyProtection="1"/>
    <xf numFmtId="167" fontId="15" fillId="2" borderId="1" xfId="300" applyNumberFormat="1" applyFont="1" applyFill="1" applyBorder="1" applyProtection="1"/>
    <xf numFmtId="0" fontId="15" fillId="2" borderId="6" xfId="0" applyFont="1" applyFill="1" applyBorder="1" applyProtection="1">
      <protection locked="0"/>
    </xf>
    <xf numFmtId="186" fontId="29" fillId="61" borderId="11" xfId="0" applyNumberFormat="1" applyFont="1" applyFill="1" applyBorder="1" applyProtection="1">
      <protection locked="0"/>
    </xf>
    <xf numFmtId="186" fontId="29" fillId="61" borderId="0" xfId="0" applyNumberFormat="1" applyFont="1" applyFill="1" applyBorder="1" applyProtection="1">
      <protection locked="0"/>
    </xf>
    <xf numFmtId="186" fontId="29" fillId="61" borderId="4" xfId="0" applyNumberFormat="1" applyFont="1" applyFill="1" applyBorder="1" applyProtection="1">
      <protection locked="0"/>
    </xf>
    <xf numFmtId="167" fontId="15" fillId="2" borderId="5" xfId="300" applyNumberFormat="1" applyFont="1" applyFill="1" applyBorder="1" applyProtection="1"/>
    <xf numFmtId="0" fontId="0" fillId="2" borderId="2" xfId="0" applyFill="1" applyBorder="1" applyProtection="1">
      <protection locked="0"/>
    </xf>
    <xf numFmtId="167" fontId="17" fillId="2" borderId="7" xfId="300" applyNumberFormat="1" applyFont="1" applyFill="1" applyBorder="1" applyAlignment="1" applyProtection="1">
      <alignment horizontal="center" vertical="center" wrapText="1"/>
    </xf>
    <xf numFmtId="1" fontId="19" fillId="63" borderId="15" xfId="300" applyNumberFormat="1" applyFont="1" applyFill="1" applyBorder="1" applyAlignment="1" applyProtection="1">
      <alignment horizontal="center"/>
    </xf>
    <xf numFmtId="1" fontId="19" fillId="63" borderId="3" xfId="300" applyNumberFormat="1" applyFont="1" applyFill="1" applyBorder="1" applyAlignment="1" applyProtection="1">
      <alignment horizontal="center"/>
    </xf>
    <xf numFmtId="1" fontId="19" fillId="63" borderId="2" xfId="300" applyNumberFormat="1" applyFont="1" applyFill="1" applyBorder="1" applyAlignment="1" applyProtection="1">
      <alignment horizontal="center"/>
    </xf>
    <xf numFmtId="0" fontId="119" fillId="2" borderId="0" xfId="0" applyFont="1" applyFill="1" applyProtection="1">
      <protection locked="0"/>
    </xf>
    <xf numFmtId="9" fontId="16" fillId="61" borderId="11" xfId="301" applyFont="1" applyFill="1" applyBorder="1" applyAlignment="1" applyProtection="1">
      <alignment horizontal="center"/>
      <protection locked="0"/>
    </xf>
    <xf numFmtId="165" fontId="0" fillId="61" borderId="11" xfId="0" applyNumberFormat="1" applyFont="1" applyFill="1" applyBorder="1" applyAlignment="1" applyProtection="1">
      <alignment horizontal="center"/>
      <protection locked="0"/>
    </xf>
    <xf numFmtId="165" fontId="0" fillId="5" borderId="3" xfId="0" applyNumberFormat="1" applyFont="1" applyFill="1" applyBorder="1" applyAlignment="1" applyProtection="1">
      <alignment horizontal="center"/>
      <protection locked="0"/>
    </xf>
    <xf numFmtId="167" fontId="16" fillId="2" borderId="10" xfId="300" applyNumberFormat="1" applyFont="1" applyFill="1" applyBorder="1" applyProtection="1"/>
    <xf numFmtId="167" fontId="16" fillId="2" borderId="9" xfId="300" applyNumberFormat="1" applyFont="1" applyFill="1" applyBorder="1" applyProtection="1"/>
    <xf numFmtId="167" fontId="16" fillId="2" borderId="9" xfId="300" applyNumberFormat="1" applyFont="1" applyFill="1" applyBorder="1" applyProtection="1">
      <protection locked="0"/>
    </xf>
    <xf numFmtId="167" fontId="16" fillId="2" borderId="62" xfId="300" applyNumberFormat="1" applyFont="1" applyFill="1" applyBorder="1" applyProtection="1">
      <protection locked="0"/>
    </xf>
    <xf numFmtId="167" fontId="16" fillId="2" borderId="11" xfId="300" applyNumberFormat="1" applyFont="1" applyFill="1" applyBorder="1" applyProtection="1"/>
    <xf numFmtId="167" fontId="16" fillId="2" borderId="0" xfId="300" applyNumberFormat="1" applyFont="1" applyFill="1" applyBorder="1" applyProtection="1"/>
    <xf numFmtId="167" fontId="16" fillId="2" borderId="0" xfId="300" applyNumberFormat="1" applyFont="1" applyFill="1" applyBorder="1" applyProtection="1">
      <protection locked="0"/>
    </xf>
    <xf numFmtId="167" fontId="16" fillId="2" borderId="4" xfId="300" applyNumberFormat="1" applyFont="1" applyFill="1" applyBorder="1" applyProtection="1">
      <protection locked="0"/>
    </xf>
    <xf numFmtId="167" fontId="16" fillId="2" borderId="6" xfId="300" applyNumberFormat="1" applyFont="1" applyFill="1" applyBorder="1" applyProtection="1"/>
    <xf numFmtId="167" fontId="16" fillId="2" borderId="1" xfId="300" applyNumberFormat="1" applyFont="1" applyFill="1" applyBorder="1" applyProtection="1"/>
    <xf numFmtId="167" fontId="16" fillId="2" borderId="1" xfId="300" applyNumberFormat="1" applyFont="1" applyFill="1" applyBorder="1" applyProtection="1">
      <protection locked="0"/>
    </xf>
    <xf numFmtId="167" fontId="16" fillId="2" borderId="5" xfId="300" applyNumberFormat="1" applyFont="1" applyFill="1" applyBorder="1" applyProtection="1">
      <protection locked="0"/>
    </xf>
    <xf numFmtId="167" fontId="0" fillId="2" borderId="10" xfId="300" applyNumberFormat="1" applyFont="1" applyFill="1" applyBorder="1" applyProtection="1"/>
    <xf numFmtId="167" fontId="15" fillId="2" borderId="9" xfId="300" applyNumberFormat="1" applyFont="1" applyFill="1" applyBorder="1" applyProtection="1">
      <protection locked="0"/>
    </xf>
    <xf numFmtId="167" fontId="15" fillId="2" borderId="62" xfId="300" applyNumberFormat="1" applyFont="1" applyFill="1" applyBorder="1" applyProtection="1">
      <protection locked="0"/>
    </xf>
    <xf numFmtId="167" fontId="0" fillId="2" borderId="11" xfId="300" applyNumberFormat="1" applyFont="1" applyFill="1" applyBorder="1" applyProtection="1"/>
    <xf numFmtId="167" fontId="15" fillId="2" borderId="0" xfId="300" applyNumberFormat="1" applyFont="1" applyFill="1" applyBorder="1" applyProtection="1">
      <protection locked="0"/>
    </xf>
    <xf numFmtId="167" fontId="15" fillId="2" borderId="4" xfId="300" applyNumberFormat="1" applyFont="1" applyFill="1" applyBorder="1" applyProtection="1">
      <protection locked="0"/>
    </xf>
    <xf numFmtId="167" fontId="0" fillId="2" borderId="6" xfId="300" applyNumberFormat="1" applyFont="1" applyFill="1" applyBorder="1" applyProtection="1"/>
    <xf numFmtId="167" fontId="0" fillId="2" borderId="1" xfId="300" applyNumberFormat="1" applyFont="1" applyFill="1" applyBorder="1" applyProtection="1"/>
    <xf numFmtId="167" fontId="15" fillId="2" borderId="1" xfId="300" applyNumberFormat="1" applyFont="1" applyFill="1" applyBorder="1" applyProtection="1">
      <protection locked="0"/>
    </xf>
    <xf numFmtId="167" fontId="15" fillId="2" borderId="5" xfId="300" applyNumberFormat="1" applyFont="1" applyFill="1" applyBorder="1" applyProtection="1">
      <protection locked="0"/>
    </xf>
    <xf numFmtId="169" fontId="18" fillId="2" borderId="11" xfId="0" applyNumberFormat="1" applyFont="1" applyFill="1" applyBorder="1" applyProtection="1">
      <protection locked="0"/>
    </xf>
    <xf numFmtId="169" fontId="18" fillId="2" borderId="0" xfId="0" applyNumberFormat="1" applyFont="1" applyFill="1" applyBorder="1" applyProtection="1">
      <protection locked="0"/>
    </xf>
    <xf numFmtId="9" fontId="18" fillId="2" borderId="0" xfId="0" applyNumberFormat="1" applyFont="1" applyFill="1" applyBorder="1" applyProtection="1">
      <protection locked="0"/>
    </xf>
    <xf numFmtId="9" fontId="18" fillId="2" borderId="4" xfId="0" applyNumberFormat="1" applyFont="1" applyFill="1" applyBorder="1" applyProtection="1">
      <protection locked="0"/>
    </xf>
    <xf numFmtId="9" fontId="0" fillId="61" borderId="11" xfId="301" applyFont="1" applyFill="1" applyBorder="1" applyAlignment="1" applyProtection="1">
      <alignment horizontal="center"/>
      <protection locked="0"/>
    </xf>
    <xf numFmtId="9" fontId="16" fillId="5" borderId="3" xfId="301" applyFont="1" applyFill="1" applyBorder="1" applyAlignment="1" applyProtection="1">
      <alignment horizontal="center"/>
      <protection locked="0"/>
    </xf>
    <xf numFmtId="9" fontId="16" fillId="61" borderId="3" xfId="301" applyFont="1" applyFill="1" applyBorder="1" applyAlignment="1" applyProtection="1">
      <alignment horizontal="center"/>
      <protection locked="0"/>
    </xf>
    <xf numFmtId="0" fontId="20" fillId="2" borderId="5" xfId="0" applyFont="1" applyFill="1" applyBorder="1" applyProtection="1">
      <protection locked="0"/>
    </xf>
    <xf numFmtId="0" fontId="15" fillId="3" borderId="6" xfId="0" applyFont="1" applyFill="1" applyBorder="1" applyAlignment="1" applyProtection="1">
      <alignment horizontal="center"/>
    </xf>
    <xf numFmtId="9" fontId="15" fillId="61" borderId="6" xfId="301" applyFont="1" applyFill="1" applyBorder="1" applyAlignment="1" applyProtection="1">
      <alignment horizontal="center"/>
      <protection locked="0"/>
    </xf>
    <xf numFmtId="2" fontId="16" fillId="5" borderId="2" xfId="0" applyNumberFormat="1" applyFont="1" applyFill="1" applyBorder="1" applyAlignment="1" applyProtection="1">
      <alignment horizontal="center"/>
      <protection locked="0"/>
    </xf>
    <xf numFmtId="42" fontId="15" fillId="61" borderId="6" xfId="0" applyNumberFormat="1" applyFont="1" applyFill="1" applyBorder="1" applyProtection="1"/>
    <xf numFmtId="42" fontId="15" fillId="61" borderId="1" xfId="0" applyNumberFormat="1" applyFont="1" applyFill="1" applyBorder="1" applyProtection="1"/>
    <xf numFmtId="42" fontId="15" fillId="61" borderId="5" xfId="0" applyNumberFormat="1" applyFont="1" applyFill="1" applyBorder="1" applyProtection="1"/>
    <xf numFmtId="0" fontId="90" fillId="2" borderId="0" xfId="0" applyFont="1" applyFill="1" applyBorder="1" applyAlignment="1" applyProtection="1">
      <alignment horizontal="center" vertical="center"/>
      <protection locked="0"/>
    </xf>
    <xf numFmtId="0" fontId="105" fillId="2" borderId="0" xfId="0" applyFont="1" applyFill="1" applyProtection="1">
      <protection locked="0"/>
    </xf>
    <xf numFmtId="42" fontId="15" fillId="2" borderId="10" xfId="0" applyNumberFormat="1" applyFont="1" applyFill="1" applyBorder="1" applyAlignment="1" applyProtection="1">
      <alignment horizontal="center"/>
      <protection locked="0"/>
    </xf>
    <xf numFmtId="42" fontId="15" fillId="2" borderId="9" xfId="0" applyNumberFormat="1" applyFont="1" applyFill="1" applyBorder="1" applyAlignment="1" applyProtection="1">
      <alignment horizontal="center"/>
      <protection locked="0"/>
    </xf>
    <xf numFmtId="42" fontId="15" fillId="2" borderId="62" xfId="0" applyNumberFormat="1" applyFont="1" applyFill="1" applyBorder="1" applyAlignment="1" applyProtection="1">
      <alignment horizontal="center"/>
      <protection locked="0"/>
    </xf>
    <xf numFmtId="169" fontId="0" fillId="61" borderId="10" xfId="0" applyNumberFormat="1" applyFill="1" applyBorder="1" applyAlignment="1">
      <alignment horizontal="center"/>
    </xf>
    <xf numFmtId="169" fontId="0" fillId="61" borderId="9" xfId="0" applyNumberFormat="1" applyFill="1" applyBorder="1" applyAlignment="1">
      <alignment horizontal="center"/>
    </xf>
    <xf numFmtId="169" fontId="0" fillId="61" borderId="62" xfId="0" applyNumberFormat="1" applyFill="1" applyBorder="1" applyAlignment="1">
      <alignment horizontal="center"/>
    </xf>
    <xf numFmtId="0" fontId="0" fillId="0" borderId="15" xfId="0" applyBorder="1" applyProtection="1">
      <protection locked="0"/>
    </xf>
    <xf numFmtId="167" fontId="19" fillId="63" borderId="62" xfId="300" applyNumberFormat="1" applyFont="1" applyFill="1" applyBorder="1" applyProtection="1"/>
    <xf numFmtId="167" fontId="19" fillId="63" borderId="5" xfId="300" applyNumberFormat="1" applyFont="1" applyFill="1" applyBorder="1" applyAlignment="1" applyProtection="1">
      <alignment horizontal="center"/>
    </xf>
    <xf numFmtId="167" fontId="19" fillId="63" borderId="62" xfId="300" applyNumberFormat="1" applyFont="1" applyFill="1" applyBorder="1" applyAlignment="1" applyProtection="1">
      <alignment horizontal="center"/>
    </xf>
    <xf numFmtId="1" fontId="0" fillId="61" borderId="6" xfId="0" applyNumberFormat="1" applyFill="1" applyBorder="1" applyAlignment="1">
      <alignment horizontal="center"/>
    </xf>
    <xf numFmtId="1" fontId="0" fillId="61" borderId="1" xfId="0" applyNumberFormat="1" applyFill="1" applyBorder="1" applyAlignment="1">
      <alignment horizontal="center"/>
    </xf>
    <xf numFmtId="1" fontId="0" fillId="61" borderId="5" xfId="0" applyNumberFormat="1" applyFill="1" applyBorder="1" applyAlignment="1">
      <alignment horizontal="center"/>
    </xf>
    <xf numFmtId="0" fontId="22" fillId="2" borderId="0" xfId="0" applyFont="1" applyFill="1" applyProtection="1"/>
    <xf numFmtId="42" fontId="0" fillId="2" borderId="15" xfId="0" applyNumberFormat="1" applyFill="1" applyBorder="1" applyProtection="1"/>
    <xf numFmtId="0" fontId="0" fillId="2" borderId="0" xfId="0" applyFill="1" applyAlignment="1" applyProtection="1">
      <alignment vertical="center"/>
      <protection locked="0"/>
    </xf>
    <xf numFmtId="0" fontId="104" fillId="2" borderId="0" xfId="0" applyFont="1" applyFill="1" applyAlignment="1" applyProtection="1">
      <alignment vertical="center"/>
      <protection locked="0"/>
    </xf>
    <xf numFmtId="0" fontId="19" fillId="2" borderId="0" xfId="0" applyFont="1" applyFill="1" applyBorder="1" applyAlignment="1" applyProtection="1">
      <alignment vertical="center"/>
      <protection locked="0"/>
    </xf>
    <xf numFmtId="170" fontId="0" fillId="61" borderId="8" xfId="301" applyNumberFormat="1" applyFont="1" applyFill="1" applyBorder="1" applyAlignment="1" applyProtection="1">
      <alignment horizontal="center" vertical="center" wrapText="1"/>
      <protection locked="0"/>
    </xf>
    <xf numFmtId="170" fontId="0" fillId="61" borderId="13" xfId="301" applyNumberFormat="1" applyFont="1" applyFill="1" applyBorder="1" applyAlignment="1" applyProtection="1">
      <alignment horizontal="center" vertical="center" wrapText="1"/>
      <protection locked="0"/>
    </xf>
    <xf numFmtId="167" fontId="15" fillId="61" borderId="13" xfId="300" applyNumberFormat="1" applyFont="1" applyFill="1" applyBorder="1" applyAlignment="1" applyProtection="1">
      <alignment horizontal="center" vertical="center"/>
      <protection locked="0"/>
    </xf>
    <xf numFmtId="167" fontId="15" fillId="61" borderId="14" xfId="300" applyNumberFormat="1" applyFont="1" applyFill="1" applyBorder="1" applyAlignment="1" applyProtection="1">
      <alignment horizontal="center" vertical="center"/>
      <protection locked="0"/>
    </xf>
    <xf numFmtId="0" fontId="29" fillId="2" borderId="0" xfId="0" applyFont="1" applyFill="1" applyAlignment="1">
      <alignment vertical="center"/>
    </xf>
    <xf numFmtId="0" fontId="0" fillId="2" borderId="0" xfId="0" applyFill="1" applyAlignment="1">
      <alignment vertical="center"/>
    </xf>
    <xf numFmtId="0" fontId="0" fillId="3" borderId="0" xfId="0" applyFill="1" applyAlignment="1" applyProtection="1">
      <alignment horizontal="right"/>
    </xf>
    <xf numFmtId="0" fontId="0" fillId="3" borderId="0" xfId="0" applyFill="1" applyProtection="1"/>
    <xf numFmtId="0" fontId="96" fillId="2" borderId="0" xfId="0" applyFont="1" applyFill="1"/>
    <xf numFmtId="0" fontId="14" fillId="2" borderId="0" xfId="75" applyFont="1" applyFill="1" applyAlignment="1">
      <alignment vertical="top"/>
    </xf>
    <xf numFmtId="0" fontId="14" fillId="3" borderId="0" xfId="75" applyFill="1" applyAlignment="1">
      <alignment vertical="top"/>
    </xf>
    <xf numFmtId="0" fontId="105" fillId="3" borderId="0" xfId="0" applyFont="1" applyFill="1" applyProtection="1"/>
    <xf numFmtId="42" fontId="0" fillId="3" borderId="7" xfId="0" applyNumberFormat="1" applyFill="1" applyBorder="1" applyProtection="1"/>
    <xf numFmtId="172" fontId="0" fillId="3" borderId="0" xfId="0" applyNumberFormat="1" applyFill="1" applyProtection="1"/>
    <xf numFmtId="0" fontId="0" fillId="3" borderId="0" xfId="0" applyFont="1" applyFill="1" applyProtection="1"/>
    <xf numFmtId="172" fontId="0" fillId="3" borderId="1" xfId="0" applyNumberFormat="1" applyFont="1" applyFill="1" applyBorder="1" applyProtection="1"/>
    <xf numFmtId="0" fontId="96" fillId="3" borderId="0" xfId="0" applyFont="1" applyFill="1" applyProtection="1"/>
    <xf numFmtId="0" fontId="29" fillId="3" borderId="0" xfId="0" applyFont="1" applyFill="1" applyProtection="1"/>
    <xf numFmtId="167" fontId="29" fillId="3" borderId="0" xfId="0" applyNumberFormat="1" applyFont="1" applyFill="1" applyProtection="1"/>
    <xf numFmtId="0" fontId="96" fillId="2" borderId="7" xfId="0" applyFont="1" applyFill="1" applyBorder="1" applyProtection="1"/>
    <xf numFmtId="0" fontId="96" fillId="63" borderId="7" xfId="0" applyFont="1" applyFill="1" applyBorder="1" applyProtection="1"/>
    <xf numFmtId="0" fontId="0" fillId="3" borderId="7" xfId="0" applyFill="1" applyBorder="1" applyAlignment="1" applyProtection="1">
      <alignment horizontal="right"/>
    </xf>
    <xf numFmtId="172" fontId="96" fillId="2" borderId="13" xfId="0" applyNumberFormat="1" applyFont="1" applyFill="1" applyBorder="1" applyProtection="1"/>
    <xf numFmtId="172" fontId="96" fillId="2" borderId="14" xfId="0" applyNumberFormat="1" applyFont="1" applyFill="1" applyBorder="1" applyProtection="1"/>
    <xf numFmtId="172" fontId="96" fillId="63" borderId="13" xfId="0" applyNumberFormat="1" applyFont="1" applyFill="1" applyBorder="1" applyProtection="1"/>
    <xf numFmtId="1" fontId="0" fillId="3" borderId="13" xfId="0" applyNumberFormat="1" applyFill="1" applyBorder="1" applyAlignment="1" applyProtection="1">
      <alignment horizontal="right"/>
    </xf>
    <xf numFmtId="1" fontId="0" fillId="3" borderId="14" xfId="0" applyNumberFormat="1" applyFill="1" applyBorder="1" applyAlignment="1" applyProtection="1">
      <alignment horizontal="right"/>
    </xf>
    <xf numFmtId="0" fontId="0" fillId="2" borderId="10" xfId="0" applyFill="1" applyBorder="1" applyProtection="1"/>
    <xf numFmtId="3" fontId="14" fillId="3" borderId="3" xfId="75" applyNumberFormat="1" applyFill="1" applyBorder="1" applyAlignment="1">
      <alignment horizontal="center" vertical="top"/>
    </xf>
    <xf numFmtId="3" fontId="14" fillId="3" borderId="2" xfId="75" applyNumberFormat="1" applyFill="1" applyBorder="1" applyAlignment="1">
      <alignment horizontal="center" vertical="top"/>
    </xf>
    <xf numFmtId="10" fontId="14" fillId="3" borderId="15" xfId="301" applyNumberFormat="1" applyFont="1" applyFill="1" applyBorder="1" applyAlignment="1">
      <alignment horizontal="center" vertical="top"/>
    </xf>
    <xf numFmtId="10" fontId="14" fillId="3" borderId="3" xfId="301" applyNumberFormat="1" applyFont="1" applyFill="1" applyBorder="1" applyAlignment="1">
      <alignment horizontal="center" vertical="top"/>
    </xf>
    <xf numFmtId="169" fontId="0" fillId="3" borderId="3" xfId="301" applyNumberFormat="1" applyFont="1" applyFill="1" applyBorder="1" applyAlignment="1">
      <alignment horizontal="center"/>
    </xf>
    <xf numFmtId="9" fontId="14" fillId="63" borderId="2" xfId="301" applyFont="1" applyFill="1" applyBorder="1" applyAlignment="1">
      <alignment horizontal="center" vertical="top"/>
    </xf>
    <xf numFmtId="167" fontId="29" fillId="2" borderId="0" xfId="300" applyNumberFormat="1" applyFont="1" applyFill="1" applyBorder="1" applyProtection="1">
      <protection locked="0"/>
    </xf>
    <xf numFmtId="167" fontId="29" fillId="2" borderId="3" xfId="300" applyNumberFormat="1" applyFont="1" applyFill="1" applyBorder="1" applyProtection="1">
      <protection locked="0"/>
    </xf>
    <xf numFmtId="43" fontId="29" fillId="2" borderId="0" xfId="300" applyNumberFormat="1" applyFont="1" applyFill="1" applyBorder="1" applyProtection="1"/>
    <xf numFmtId="0" fontId="29" fillId="2" borderId="0" xfId="0" applyFont="1" applyFill="1" applyBorder="1"/>
    <xf numFmtId="0" fontId="2" fillId="2" borderId="8" xfId="0" applyFont="1" applyFill="1" applyBorder="1" applyProtection="1">
      <protection locked="0"/>
    </xf>
    <xf numFmtId="3" fontId="18" fillId="2" borderId="7" xfId="0" applyNumberFormat="1" applyFont="1" applyFill="1" applyBorder="1" applyAlignment="1" applyProtection="1">
      <alignment horizontal="center"/>
    </xf>
    <xf numFmtId="0" fontId="110" fillId="2" borderId="0" xfId="0" applyFont="1" applyFill="1" applyAlignment="1" applyProtection="1">
      <protection locked="0"/>
    </xf>
    <xf numFmtId="0" fontId="29" fillId="2" borderId="0" xfId="0" applyFont="1" applyFill="1" applyAlignment="1" applyProtection="1">
      <protection locked="0"/>
    </xf>
    <xf numFmtId="0" fontId="110" fillId="2" borderId="0" xfId="0" applyFont="1" applyFill="1" applyAlignment="1"/>
    <xf numFmtId="0" fontId="31" fillId="61" borderId="10" xfId="0" quotePrefix="1" applyFont="1" applyFill="1" applyBorder="1" applyAlignment="1" applyProtection="1">
      <alignment horizontal="center" vertical="top" wrapText="1"/>
      <protection locked="0"/>
    </xf>
    <xf numFmtId="0" fontId="31" fillId="61" borderId="15" xfId="0" quotePrefix="1" applyFont="1" applyFill="1" applyBorder="1" applyAlignment="1" applyProtection="1">
      <alignment horizontal="center" vertical="top" wrapText="1"/>
      <protection locked="0"/>
    </xf>
    <xf numFmtId="0" fontId="109" fillId="61" borderId="9" xfId="0" quotePrefix="1" applyFont="1" applyFill="1" applyBorder="1" applyAlignment="1" applyProtection="1">
      <alignment horizontal="center" vertical="top"/>
      <protection locked="0"/>
    </xf>
    <xf numFmtId="0" fontId="109" fillId="61" borderId="62" xfId="0" quotePrefix="1" applyFont="1" applyFill="1" applyBorder="1" applyAlignment="1" applyProtection="1">
      <alignment horizontal="center" vertical="top"/>
      <protection locked="0"/>
    </xf>
    <xf numFmtId="0" fontId="109" fillId="2" borderId="0" xfId="0" applyFont="1" applyFill="1" applyBorder="1" applyAlignment="1" applyProtection="1">
      <alignment horizontal="right"/>
      <protection locked="0"/>
    </xf>
    <xf numFmtId="0" fontId="107" fillId="67" borderId="10" xfId="0" applyFont="1" applyFill="1" applyBorder="1" applyAlignment="1" applyProtection="1">
      <alignment horizontal="center"/>
      <protection locked="0"/>
    </xf>
    <xf numFmtId="38" fontId="36" fillId="2" borderId="7" xfId="0" applyNumberFormat="1" applyFont="1" applyFill="1" applyBorder="1" applyAlignment="1" applyProtection="1">
      <alignment horizontal="center" vertical="center" wrapText="1"/>
    </xf>
    <xf numFmtId="42" fontId="15" fillId="2" borderId="8" xfId="0" applyNumberFormat="1" applyFont="1" applyFill="1" applyBorder="1" applyProtection="1">
      <protection locked="0"/>
    </xf>
    <xf numFmtId="42" fontId="15" fillId="2" borderId="13" xfId="0" applyNumberFormat="1" applyFont="1" applyFill="1" applyBorder="1" applyProtection="1">
      <protection locked="0"/>
    </xf>
    <xf numFmtId="42" fontId="15" fillId="2" borderId="14" xfId="0" applyNumberFormat="1" applyFont="1" applyFill="1" applyBorder="1" applyProtection="1">
      <protection locked="0"/>
    </xf>
    <xf numFmtId="167" fontId="16" fillId="2" borderId="2" xfId="300" applyNumberFormat="1" applyFont="1" applyFill="1" applyBorder="1" applyProtection="1"/>
    <xf numFmtId="167" fontId="16" fillId="2" borderId="15" xfId="300" applyNumberFormat="1" applyFont="1" applyFill="1" applyBorder="1" applyProtection="1"/>
    <xf numFmtId="167" fontId="16" fillId="2" borderId="3" xfId="300" applyNumberFormat="1" applyFont="1" applyFill="1" applyBorder="1" applyProtection="1"/>
    <xf numFmtId="0" fontId="101" fillId="61" borderId="10" xfId="0" applyFont="1" applyFill="1" applyBorder="1" applyAlignment="1" applyProtection="1">
      <alignment vertical="center" wrapText="1"/>
    </xf>
    <xf numFmtId="0" fontId="101" fillId="61" borderId="9" xfId="0" applyFont="1" applyFill="1" applyBorder="1" applyAlignment="1" applyProtection="1">
      <alignment vertical="center" wrapText="1"/>
    </xf>
    <xf numFmtId="0" fontId="101" fillId="61" borderId="62" xfId="0" applyFont="1" applyFill="1" applyBorder="1" applyAlignment="1" applyProtection="1">
      <alignment vertical="center" wrapText="1"/>
    </xf>
    <xf numFmtId="167" fontId="26" fillId="2" borderId="6" xfId="300" applyNumberFormat="1" applyFont="1" applyFill="1" applyBorder="1" applyAlignment="1" applyProtection="1">
      <alignment horizontal="center"/>
    </xf>
    <xf numFmtId="167" fontId="26" fillId="2" borderId="1" xfId="300" applyNumberFormat="1" applyFont="1" applyFill="1" applyBorder="1" applyAlignment="1" applyProtection="1">
      <alignment horizontal="center"/>
    </xf>
    <xf numFmtId="167" fontId="26" fillId="2" borderId="5" xfId="300" applyNumberFormat="1" applyFont="1" applyFill="1" applyBorder="1" applyAlignment="1" applyProtection="1">
      <alignment horizontal="center"/>
    </xf>
    <xf numFmtId="0" fontId="123" fillId="70" borderId="72" xfId="0" applyFont="1" applyFill="1" applyBorder="1" applyAlignment="1">
      <alignment horizontal="center"/>
    </xf>
    <xf numFmtId="0" fontId="121" fillId="2" borderId="11" xfId="0" applyFont="1" applyFill="1" applyBorder="1"/>
    <xf numFmtId="1" fontId="0" fillId="61" borderId="7" xfId="301" applyNumberFormat="1" applyFont="1" applyFill="1" applyBorder="1" applyAlignment="1">
      <alignment horizontal="center"/>
    </xf>
    <xf numFmtId="0" fontId="0" fillId="3" borderId="11" xfId="0" applyFont="1" applyFill="1" applyBorder="1" applyAlignment="1" applyProtection="1">
      <alignment horizontal="left"/>
      <protection locked="0"/>
    </xf>
    <xf numFmtId="0" fontId="0" fillId="3" borderId="4" xfId="0" applyFont="1" applyFill="1" applyBorder="1" applyAlignment="1" applyProtection="1">
      <alignment horizontal="left"/>
      <protection locked="0"/>
    </xf>
    <xf numFmtId="167" fontId="102" fillId="2" borderId="1" xfId="300" applyNumberFormat="1" applyFont="1" applyFill="1" applyBorder="1" applyAlignment="1">
      <alignment horizontal="center" wrapText="1"/>
    </xf>
    <xf numFmtId="167" fontId="102" fillId="2" borderId="1" xfId="300" applyNumberFormat="1" applyFont="1" applyFill="1" applyBorder="1" applyAlignment="1"/>
    <xf numFmtId="167" fontId="102" fillId="2" borderId="1" xfId="300" applyNumberFormat="1" applyFont="1" applyFill="1" applyBorder="1" applyAlignment="1">
      <alignment horizontal="center"/>
    </xf>
    <xf numFmtId="0" fontId="0" fillId="2" borderId="0" xfId="0" applyFill="1" applyAlignment="1">
      <alignment horizontal="center"/>
    </xf>
    <xf numFmtId="0" fontId="0" fillId="2" borderId="2" xfId="0" applyFill="1" applyBorder="1" applyAlignment="1">
      <alignment horizontal="center"/>
    </xf>
    <xf numFmtId="0" fontId="0" fillId="3" borderId="2" xfId="0" applyFill="1" applyBorder="1"/>
    <xf numFmtId="0" fontId="0" fillId="3" borderId="7" xfId="0" applyFill="1" applyBorder="1"/>
    <xf numFmtId="0" fontId="19" fillId="6" borderId="7" xfId="0" applyFont="1" applyFill="1" applyBorder="1"/>
    <xf numFmtId="0" fontId="96" fillId="3" borderId="0" xfId="0" applyFont="1" applyFill="1" applyBorder="1" applyAlignment="1">
      <alignment horizontal="left"/>
    </xf>
    <xf numFmtId="167" fontId="96" fillId="3" borderId="0" xfId="300" applyNumberFormat="1" applyFont="1" applyFill="1" applyBorder="1" applyAlignment="1">
      <alignment horizontal="center" wrapText="1"/>
    </xf>
    <xf numFmtId="167" fontId="96" fillId="3" borderId="0" xfId="300" applyNumberFormat="1" applyFont="1" applyFill="1" applyBorder="1" applyAlignment="1">
      <alignment horizontal="center"/>
    </xf>
    <xf numFmtId="167" fontId="96" fillId="3" borderId="0" xfId="300" applyNumberFormat="1" applyFont="1" applyFill="1" applyBorder="1" applyAlignment="1">
      <alignment horizontal="left"/>
    </xf>
    <xf numFmtId="0" fontId="0" fillId="3" borderId="7" xfId="0" applyFont="1" applyFill="1" applyBorder="1"/>
    <xf numFmtId="0" fontId="0" fillId="72" borderId="7" xfId="0" applyFill="1" applyBorder="1" applyAlignment="1">
      <alignment horizontal="center"/>
    </xf>
    <xf numFmtId="1" fontId="20" fillId="73" borderId="7" xfId="301" applyNumberFormat="1" applyFont="1" applyFill="1" applyBorder="1" applyAlignment="1">
      <alignment horizontal="center"/>
    </xf>
    <xf numFmtId="0" fontId="0" fillId="74" borderId="7" xfId="0" applyFill="1" applyBorder="1"/>
    <xf numFmtId="9" fontId="15" fillId="72" borderId="7" xfId="301" applyFont="1" applyFill="1" applyBorder="1" applyAlignment="1">
      <alignment horizontal="left"/>
    </xf>
    <xf numFmtId="9" fontId="0" fillId="73" borderId="7" xfId="301" applyFont="1" applyFill="1" applyBorder="1" applyAlignment="1">
      <alignment horizontal="center"/>
    </xf>
    <xf numFmtId="9" fontId="0" fillId="72" borderId="7" xfId="301" applyFont="1" applyFill="1" applyBorder="1" applyAlignment="1">
      <alignment horizontal="left"/>
    </xf>
    <xf numFmtId="0" fontId="124" fillId="2" borderId="0" xfId="0" applyFont="1" applyFill="1"/>
    <xf numFmtId="0" fontId="15" fillId="3" borderId="7" xfId="0" applyFont="1" applyFill="1" applyBorder="1" applyAlignment="1" applyProtection="1">
      <protection locked="0"/>
    </xf>
    <xf numFmtId="1" fontId="16" fillId="2" borderId="7" xfId="300" applyNumberFormat="1" applyFont="1" applyFill="1" applyBorder="1" applyAlignment="1" applyProtection="1">
      <alignment horizontal="center"/>
    </xf>
    <xf numFmtId="0" fontId="0" fillId="3" borderId="8" xfId="0" applyFill="1" applyBorder="1"/>
    <xf numFmtId="9" fontId="0" fillId="2" borderId="14" xfId="301" applyFont="1" applyFill="1" applyBorder="1" applyAlignment="1">
      <alignment horizontal="left"/>
    </xf>
    <xf numFmtId="9" fontId="0" fillId="2" borderId="6" xfId="301" applyFont="1" applyFill="1" applyBorder="1" applyProtection="1">
      <protection locked="0"/>
    </xf>
    <xf numFmtId="9" fontId="0" fillId="2" borderId="1" xfId="301" applyFont="1" applyFill="1" applyBorder="1" applyProtection="1">
      <protection locked="0"/>
    </xf>
    <xf numFmtId="9" fontId="0" fillId="2" borderId="5" xfId="301" applyFont="1" applyFill="1" applyBorder="1" applyProtection="1">
      <protection locked="0"/>
    </xf>
    <xf numFmtId="0" fontId="115" fillId="2" borderId="0" xfId="0" applyFont="1" applyFill="1"/>
    <xf numFmtId="2" fontId="15" fillId="2" borderId="0" xfId="0" applyNumberFormat="1" applyFont="1" applyFill="1"/>
    <xf numFmtId="2" fontId="0" fillId="2" borderId="0" xfId="0" applyNumberFormat="1" applyFill="1"/>
    <xf numFmtId="0" fontId="34" fillId="75" borderId="0" xfId="0" applyFont="1" applyFill="1" applyProtection="1">
      <protection locked="0"/>
    </xf>
    <xf numFmtId="43" fontId="34" fillId="75" borderId="0" xfId="0" applyNumberFormat="1" applyFont="1" applyFill="1" applyProtection="1">
      <protection locked="0"/>
    </xf>
    <xf numFmtId="0" fontId="34" fillId="75" borderId="0" xfId="0" applyFont="1" applyFill="1"/>
    <xf numFmtId="0" fontId="125" fillId="75" borderId="0" xfId="0" applyFont="1" applyFill="1" applyAlignment="1" applyProtection="1">
      <alignment horizontal="left" vertical="center"/>
      <protection locked="0"/>
    </xf>
    <xf numFmtId="0" fontId="22" fillId="2" borderId="0" xfId="0" applyFont="1" applyFill="1" applyBorder="1" applyProtection="1">
      <protection locked="0"/>
    </xf>
    <xf numFmtId="169" fontId="17" fillId="2" borderId="0" xfId="301" applyNumberFormat="1" applyFont="1" applyFill="1" applyBorder="1" applyAlignment="1" applyProtection="1">
      <alignment horizontal="center"/>
    </xf>
    <xf numFmtId="0" fontId="0" fillId="2" borderId="4" xfId="0" applyFill="1" applyBorder="1"/>
    <xf numFmtId="0" fontId="120" fillId="2" borderId="1" xfId="0" applyFont="1" applyFill="1" applyBorder="1" applyAlignment="1">
      <alignment horizontal="right"/>
    </xf>
    <xf numFmtId="0" fontId="0" fillId="2" borderId="5" xfId="0" applyFill="1" applyBorder="1"/>
    <xf numFmtId="0" fontId="127" fillId="61" borderId="7" xfId="8705" applyFont="1" applyFill="1" applyBorder="1"/>
    <xf numFmtId="0" fontId="127" fillId="63" borderId="7" xfId="8705" applyFont="1" applyFill="1" applyBorder="1"/>
    <xf numFmtId="0" fontId="129" fillId="2" borderId="0" xfId="0" applyFont="1" applyFill="1" applyProtection="1">
      <protection locked="0"/>
    </xf>
    <xf numFmtId="6" fontId="17" fillId="3" borderId="7" xfId="0" applyNumberFormat="1" applyFont="1" applyFill="1" applyBorder="1" applyAlignment="1" applyProtection="1">
      <alignment horizontal="center"/>
    </xf>
    <xf numFmtId="0" fontId="130" fillId="2" borderId="0" xfId="0" applyFont="1" applyFill="1"/>
    <xf numFmtId="172" fontId="0" fillId="2" borderId="0" xfId="8010" applyNumberFormat="1" applyFont="1" applyFill="1" applyBorder="1" applyAlignment="1">
      <alignment horizontal="right"/>
    </xf>
    <xf numFmtId="172" fontId="15" fillId="2" borderId="0" xfId="8010" applyNumberFormat="1" applyFont="1" applyFill="1" applyBorder="1" applyAlignment="1">
      <alignment horizontal="right"/>
    </xf>
    <xf numFmtId="172" fontId="0" fillId="2" borderId="15" xfId="8010" applyNumberFormat="1" applyFont="1" applyFill="1" applyBorder="1" applyAlignment="1">
      <alignment horizontal="right"/>
    </xf>
    <xf numFmtId="172" fontId="0" fillId="2" borderId="3" xfId="8010" applyNumberFormat="1" applyFont="1" applyFill="1" applyBorder="1" applyAlignment="1">
      <alignment horizontal="right"/>
    </xf>
    <xf numFmtId="172" fontId="15" fillId="2" borderId="3" xfId="8010" applyNumberFormat="1" applyFont="1" applyFill="1" applyBorder="1" applyAlignment="1">
      <alignment horizontal="right"/>
    </xf>
    <xf numFmtId="172" fontId="15" fillId="2" borderId="15" xfId="8010" applyNumberFormat="1" applyFont="1" applyFill="1" applyBorder="1" applyAlignment="1">
      <alignment horizontal="right"/>
    </xf>
    <xf numFmtId="172" fontId="15" fillId="2" borderId="2" xfId="8010" applyNumberFormat="1" applyFont="1" applyFill="1" applyBorder="1" applyAlignment="1">
      <alignment horizontal="right"/>
    </xf>
    <xf numFmtId="0" fontId="15" fillId="2" borderId="8" xfId="0" applyFont="1" applyFill="1" applyBorder="1"/>
    <xf numFmtId="0" fontId="15" fillId="2" borderId="13" xfId="0" applyFont="1" applyFill="1" applyBorder="1"/>
    <xf numFmtId="0" fontId="15" fillId="2" borderId="14" xfId="0" applyFont="1" applyFill="1" applyBorder="1"/>
    <xf numFmtId="0" fontId="15" fillId="2" borderId="9" xfId="0" applyFont="1" applyFill="1" applyBorder="1"/>
    <xf numFmtId="0" fontId="15" fillId="2" borderId="62" xfId="0" applyFont="1" applyFill="1" applyBorder="1"/>
    <xf numFmtId="0" fontId="15" fillId="2" borderId="0" xfId="0" applyFont="1" applyFill="1" applyBorder="1"/>
    <xf numFmtId="0" fontId="15" fillId="2" borderId="4" xfId="0" applyFont="1" applyFill="1" applyBorder="1"/>
    <xf numFmtId="0" fontId="15" fillId="2" borderId="11" xfId="0" applyFont="1" applyFill="1" applyBorder="1"/>
    <xf numFmtId="0" fontId="15" fillId="2" borderId="6" xfId="0" applyFont="1" applyFill="1" applyBorder="1"/>
    <xf numFmtId="0" fontId="15" fillId="2" borderId="1" xfId="0" applyFont="1" applyFill="1" applyBorder="1"/>
    <xf numFmtId="172" fontId="15" fillId="2" borderId="15" xfId="0" applyNumberFormat="1" applyFont="1" applyFill="1" applyBorder="1"/>
    <xf numFmtId="172" fontId="15" fillId="2" borderId="3" xfId="0" applyNumberFormat="1" applyFont="1" applyFill="1" applyBorder="1"/>
    <xf numFmtId="172" fontId="15" fillId="2" borderId="2" xfId="0" applyNumberFormat="1" applyFont="1" applyFill="1" applyBorder="1"/>
    <xf numFmtId="172" fontId="0" fillId="2" borderId="15" xfId="0" applyNumberFormat="1" applyFill="1" applyBorder="1"/>
    <xf numFmtId="172" fontId="0" fillId="2" borderId="3" xfId="0" applyNumberFormat="1" applyFill="1" applyBorder="1"/>
    <xf numFmtId="172" fontId="0" fillId="2" borderId="2" xfId="0" applyNumberFormat="1" applyFill="1" applyBorder="1"/>
    <xf numFmtId="0" fontId="0" fillId="2" borderId="8" xfId="0" applyFill="1" applyBorder="1"/>
    <xf numFmtId="38" fontId="15" fillId="2" borderId="13" xfId="0" applyNumberFormat="1" applyFont="1" applyFill="1" applyBorder="1"/>
    <xf numFmtId="0" fontId="115" fillId="2" borderId="8" xfId="8705" applyFont="1" applyFill="1" applyBorder="1" applyAlignment="1">
      <alignment horizontal="left" vertical="top" wrapText="1"/>
    </xf>
    <xf numFmtId="0" fontId="115" fillId="2" borderId="13" xfId="8705" applyFont="1" applyFill="1" applyBorder="1" applyAlignment="1">
      <alignment horizontal="left" vertical="top" wrapText="1"/>
    </xf>
    <xf numFmtId="0" fontId="115" fillId="2" borderId="14" xfId="8705" applyFont="1" applyFill="1" applyBorder="1" applyAlignment="1">
      <alignment horizontal="left" vertical="top" wrapText="1"/>
    </xf>
    <xf numFmtId="0" fontId="118" fillId="3" borderId="0" xfId="8705" applyFont="1" applyFill="1" applyAlignment="1">
      <alignment horizontal="left" vertical="top" wrapText="1"/>
    </xf>
    <xf numFmtId="0" fontId="126" fillId="76" borderId="8" xfId="0" applyFont="1" applyFill="1" applyBorder="1" applyAlignment="1">
      <alignment horizontal="left"/>
    </xf>
    <xf numFmtId="0" fontId="126" fillId="76" borderId="13" xfId="0" applyFont="1" applyFill="1" applyBorder="1" applyAlignment="1">
      <alignment horizontal="left"/>
    </xf>
    <xf numFmtId="0" fontId="126" fillId="76" borderId="14" xfId="0" applyFont="1" applyFill="1" applyBorder="1" applyAlignment="1">
      <alignment horizontal="left"/>
    </xf>
    <xf numFmtId="0" fontId="115" fillId="2" borderId="8" xfId="0" applyFont="1" applyFill="1" applyBorder="1" applyAlignment="1">
      <alignment horizontal="left" vertical="top" wrapText="1"/>
    </xf>
    <xf numFmtId="0" fontId="115" fillId="2" borderId="13" xfId="0" applyFont="1" applyFill="1" applyBorder="1" applyAlignment="1">
      <alignment horizontal="left" vertical="top" wrapText="1"/>
    </xf>
    <xf numFmtId="0" fontId="115" fillId="2" borderId="14" xfId="0" applyFont="1" applyFill="1" applyBorder="1" applyAlignment="1">
      <alignment horizontal="left" vertical="top" wrapText="1"/>
    </xf>
    <xf numFmtId="0" fontId="122" fillId="68" borderId="70" xfId="0" applyFont="1" applyFill="1" applyBorder="1" applyAlignment="1">
      <alignment horizontal="center"/>
    </xf>
    <xf numFmtId="0" fontId="122" fillId="68" borderId="69" xfId="0" applyFont="1" applyFill="1" applyBorder="1" applyAlignment="1">
      <alignment horizontal="center"/>
    </xf>
    <xf numFmtId="0" fontId="122" fillId="68" borderId="71" xfId="0" applyFont="1" applyFill="1" applyBorder="1" applyAlignment="1">
      <alignment horizontal="center"/>
    </xf>
    <xf numFmtId="0" fontId="123" fillId="69" borderId="70" xfId="0" applyFont="1" applyFill="1" applyBorder="1" applyAlignment="1">
      <alignment horizontal="center"/>
    </xf>
    <xf numFmtId="0" fontId="123" fillId="69" borderId="71" xfId="0" applyFont="1" applyFill="1" applyBorder="1" applyAlignment="1">
      <alignment horizontal="center"/>
    </xf>
    <xf numFmtId="0" fontId="123" fillId="71" borderId="68" xfId="0" applyFont="1" applyFill="1" applyBorder="1" applyAlignment="1">
      <alignment horizontal="center"/>
    </xf>
    <xf numFmtId="0" fontId="123" fillId="71" borderId="0" xfId="0" applyFont="1" applyFill="1" applyBorder="1" applyAlignment="1">
      <alignment horizontal="center"/>
    </xf>
    <xf numFmtId="0" fontId="123" fillId="70" borderId="65" xfId="0" applyFont="1" applyFill="1" applyBorder="1" applyAlignment="1">
      <alignment horizontal="center"/>
    </xf>
    <xf numFmtId="0" fontId="123" fillId="70" borderId="67" xfId="0" applyFont="1" applyFill="1" applyBorder="1" applyAlignment="1">
      <alignment horizontal="center"/>
    </xf>
    <xf numFmtId="0" fontId="123" fillId="70" borderId="66" xfId="0" applyFont="1" applyFill="1" applyBorder="1" applyAlignment="1">
      <alignment horizontal="center"/>
    </xf>
    <xf numFmtId="0" fontId="123" fillId="71" borderId="65" xfId="0" applyFont="1" applyFill="1" applyBorder="1" applyAlignment="1">
      <alignment horizontal="center"/>
    </xf>
    <xf numFmtId="0" fontId="123" fillId="71" borderId="66" xfId="0" applyFont="1" applyFill="1" applyBorder="1" applyAlignment="1">
      <alignment horizontal="center"/>
    </xf>
    <xf numFmtId="0" fontId="123" fillId="69" borderId="65" xfId="0" applyFont="1" applyFill="1" applyBorder="1" applyAlignment="1">
      <alignment horizontal="center"/>
    </xf>
    <xf numFmtId="0" fontId="123" fillId="69" borderId="66" xfId="0" applyFont="1" applyFill="1" applyBorder="1" applyAlignment="1">
      <alignment horizontal="center"/>
    </xf>
    <xf numFmtId="0" fontId="122" fillId="68" borderId="65" xfId="0" applyFont="1" applyFill="1" applyBorder="1" applyAlignment="1">
      <alignment horizontal="center"/>
    </xf>
    <xf numFmtId="0" fontId="122" fillId="68" borderId="66" xfId="0" applyFont="1" applyFill="1" applyBorder="1" applyAlignment="1">
      <alignment horizontal="center"/>
    </xf>
    <xf numFmtId="0" fontId="126" fillId="76" borderId="6" xfId="0" applyFont="1" applyFill="1" applyBorder="1" applyAlignment="1">
      <alignment horizontal="left"/>
    </xf>
    <xf numFmtId="0" fontId="126" fillId="76" borderId="1" xfId="0" applyFont="1" applyFill="1" applyBorder="1" applyAlignment="1">
      <alignment horizontal="left"/>
    </xf>
    <xf numFmtId="0" fontId="115" fillId="2" borderId="10" xfId="0" applyFont="1" applyFill="1" applyBorder="1" applyAlignment="1">
      <alignment horizontal="left" vertical="center" wrapText="1"/>
    </xf>
    <xf numFmtId="0" fontId="115" fillId="2" borderId="9" xfId="0" applyFont="1" applyFill="1" applyBorder="1" applyAlignment="1">
      <alignment horizontal="left" vertical="center" wrapText="1"/>
    </xf>
    <xf numFmtId="0" fontId="115" fillId="2" borderId="62" xfId="0" applyFont="1" applyFill="1" applyBorder="1" applyAlignment="1">
      <alignment horizontal="left" vertical="center" wrapText="1"/>
    </xf>
    <xf numFmtId="0" fontId="115" fillId="2" borderId="8" xfId="0" applyFont="1" applyFill="1" applyBorder="1" applyAlignment="1">
      <alignment horizontal="left" vertical="center" wrapText="1"/>
    </xf>
    <xf numFmtId="0" fontId="115" fillId="2" borderId="13" xfId="0" applyFont="1" applyFill="1" applyBorder="1" applyAlignment="1">
      <alignment horizontal="left" vertical="center" wrapText="1"/>
    </xf>
    <xf numFmtId="0" fontId="115" fillId="2" borderId="14" xfId="0" applyFont="1" applyFill="1" applyBorder="1" applyAlignment="1">
      <alignment horizontal="left" vertical="center" wrapText="1"/>
    </xf>
    <xf numFmtId="0" fontId="17" fillId="6" borderId="8" xfId="0" applyFont="1" applyFill="1" applyBorder="1" applyAlignment="1" applyProtection="1">
      <alignment horizontal="left"/>
      <protection locked="0"/>
    </xf>
    <xf numFmtId="0" fontId="17" fillId="6" borderId="13" xfId="0" applyFont="1" applyFill="1" applyBorder="1" applyAlignment="1" applyProtection="1">
      <alignment horizontal="left"/>
      <protection locked="0"/>
    </xf>
    <xf numFmtId="0" fontId="17" fillId="6" borderId="14" xfId="0" applyFont="1" applyFill="1" applyBorder="1" applyAlignment="1" applyProtection="1">
      <alignment horizontal="left"/>
      <protection locked="0"/>
    </xf>
    <xf numFmtId="0" fontId="101" fillId="66" borderId="11" xfId="0" applyFont="1" applyFill="1" applyBorder="1" applyAlignment="1" applyProtection="1">
      <alignment horizontal="left" vertical="center" wrapText="1"/>
      <protection locked="0"/>
    </xf>
    <xf numFmtId="0" fontId="101" fillId="66" borderId="0" xfId="0" applyFont="1" applyFill="1" applyBorder="1" applyAlignment="1" applyProtection="1">
      <alignment horizontal="left" vertical="center" wrapText="1"/>
      <protection locked="0"/>
    </xf>
    <xf numFmtId="0" fontId="101" fillId="66" borderId="4" xfId="0" applyFont="1" applyFill="1" applyBorder="1" applyAlignment="1" applyProtection="1">
      <alignment horizontal="left" vertical="center" wrapText="1"/>
      <protection locked="0"/>
    </xf>
    <xf numFmtId="0" fontId="101" fillId="66" borderId="6" xfId="0" applyFont="1" applyFill="1" applyBorder="1" applyAlignment="1" applyProtection="1">
      <alignment horizontal="left" vertical="center" wrapText="1"/>
      <protection locked="0"/>
    </xf>
    <xf numFmtId="0" fontId="101" fillId="66" borderId="1" xfId="0" applyFont="1" applyFill="1" applyBorder="1" applyAlignment="1" applyProtection="1">
      <alignment horizontal="left" vertical="center" wrapText="1"/>
      <protection locked="0"/>
    </xf>
    <xf numFmtId="0" fontId="101" fillId="66" borderId="5" xfId="0" applyFont="1" applyFill="1" applyBorder="1" applyAlignment="1" applyProtection="1">
      <alignment horizontal="left" vertical="center" wrapText="1"/>
      <protection locked="0"/>
    </xf>
    <xf numFmtId="0" fontId="101" fillId="66" borderId="10" xfId="0" applyFont="1" applyFill="1" applyBorder="1" applyAlignment="1" applyProtection="1">
      <alignment horizontal="left" vertical="center" wrapText="1"/>
      <protection locked="0"/>
    </xf>
    <xf numFmtId="0" fontId="101" fillId="66" borderId="9" xfId="0" applyFont="1" applyFill="1" applyBorder="1" applyAlignment="1" applyProtection="1">
      <alignment horizontal="left" vertical="center" wrapText="1"/>
      <protection locked="0"/>
    </xf>
    <xf numFmtId="0" fontId="101" fillId="66" borderId="62" xfId="0" applyFont="1" applyFill="1" applyBorder="1" applyAlignment="1" applyProtection="1">
      <alignment horizontal="left" vertical="center" wrapText="1"/>
      <protection locked="0"/>
    </xf>
    <xf numFmtId="0" fontId="15" fillId="3" borderId="10" xfId="0" applyFont="1" applyFill="1" applyBorder="1" applyAlignment="1" applyProtection="1">
      <alignment horizontal="left"/>
      <protection locked="0"/>
    </xf>
    <xf numFmtId="0" fontId="15" fillId="3" borderId="62" xfId="0" applyFont="1" applyFill="1" applyBorder="1" applyAlignment="1" applyProtection="1">
      <alignment horizontal="left"/>
      <protection locked="0"/>
    </xf>
    <xf numFmtId="0" fontId="15" fillId="3" borderId="11" xfId="0" applyFont="1" applyFill="1" applyBorder="1" applyAlignment="1" applyProtection="1">
      <alignment horizontal="left"/>
      <protection locked="0"/>
    </xf>
    <xf numFmtId="0" fontId="15" fillId="3" borderId="4" xfId="0" applyFont="1" applyFill="1" applyBorder="1" applyAlignment="1" applyProtection="1">
      <alignment horizontal="left"/>
      <protection locked="0"/>
    </xf>
    <xf numFmtId="0" fontId="0" fillId="3" borderId="6" xfId="0" applyFill="1" applyBorder="1" applyAlignment="1">
      <alignment horizontal="left"/>
    </xf>
    <xf numFmtId="0" fontId="0" fillId="3" borderId="5" xfId="0" applyFill="1" applyBorder="1" applyAlignment="1">
      <alignment horizontal="left"/>
    </xf>
    <xf numFmtId="0" fontId="0" fillId="3" borderId="6" xfId="0" applyFont="1" applyFill="1" applyBorder="1" applyAlignment="1" applyProtection="1">
      <alignment horizontal="left"/>
      <protection locked="0"/>
    </xf>
    <xf numFmtId="0" fontId="0" fillId="3" borderId="5" xfId="0" applyFont="1" applyFill="1" applyBorder="1" applyAlignment="1" applyProtection="1">
      <alignment horizontal="left"/>
      <protection locked="0"/>
    </xf>
    <xf numFmtId="0" fontId="0" fillId="3" borderId="11" xfId="0" applyFill="1" applyBorder="1" applyAlignment="1" applyProtection="1">
      <alignment horizontal="left"/>
      <protection locked="0"/>
    </xf>
    <xf numFmtId="0" fontId="0" fillId="3" borderId="4" xfId="0" applyFill="1" applyBorder="1" applyAlignment="1" applyProtection="1">
      <alignment horizontal="left"/>
      <protection locked="0"/>
    </xf>
    <xf numFmtId="0" fontId="0" fillId="3" borderId="11" xfId="0" applyFont="1" applyFill="1" applyBorder="1" applyAlignment="1" applyProtection="1">
      <alignment horizontal="left"/>
      <protection locked="0"/>
    </xf>
    <xf numFmtId="0" fontId="0" fillId="3" borderId="4" xfId="0" applyFont="1" applyFill="1" applyBorder="1" applyAlignment="1" applyProtection="1">
      <alignment horizontal="left"/>
      <protection locked="0"/>
    </xf>
    <xf numFmtId="0" fontId="0" fillId="3" borderId="6" xfId="0" applyFill="1" applyBorder="1" applyAlignment="1" applyProtection="1">
      <alignment horizontal="left"/>
      <protection locked="0"/>
    </xf>
    <xf numFmtId="0" fontId="0" fillId="3" borderId="5" xfId="0" applyFill="1" applyBorder="1" applyAlignment="1" applyProtection="1">
      <alignment horizontal="left"/>
      <protection locked="0"/>
    </xf>
    <xf numFmtId="0" fontId="36" fillId="6" borderId="8" xfId="0" applyFont="1" applyFill="1" applyBorder="1" applyAlignment="1" applyProtection="1">
      <alignment horizontal="left"/>
      <protection locked="0"/>
    </xf>
    <xf numFmtId="0" fontId="36" fillId="6" borderId="13" xfId="0" applyFont="1" applyFill="1" applyBorder="1" applyAlignment="1" applyProtection="1">
      <alignment horizontal="left"/>
      <protection locked="0"/>
    </xf>
    <xf numFmtId="0" fontId="36" fillId="6" borderId="14" xfId="0" applyFont="1" applyFill="1" applyBorder="1" applyAlignment="1" applyProtection="1">
      <alignment horizontal="left"/>
      <protection locked="0"/>
    </xf>
    <xf numFmtId="38" fontId="0" fillId="61" borderId="8" xfId="0" applyNumberFormat="1" applyFont="1" applyFill="1" applyBorder="1" applyAlignment="1" applyProtection="1">
      <alignment horizontal="center"/>
      <protection locked="0"/>
    </xf>
    <xf numFmtId="38" fontId="0" fillId="61" borderId="13" xfId="0" applyNumberFormat="1" applyFont="1" applyFill="1" applyBorder="1" applyAlignment="1" applyProtection="1">
      <alignment horizontal="center"/>
      <protection locked="0"/>
    </xf>
    <xf numFmtId="38" fontId="0" fillId="61" borderId="14" xfId="0" applyNumberFormat="1" applyFont="1" applyFill="1" applyBorder="1" applyAlignment="1" applyProtection="1">
      <alignment horizontal="center"/>
      <protection locked="0"/>
    </xf>
    <xf numFmtId="172" fontId="0" fillId="61" borderId="6" xfId="0" applyNumberFormat="1" applyFont="1" applyFill="1" applyBorder="1" applyAlignment="1" applyProtection="1">
      <alignment horizontal="center"/>
      <protection locked="0"/>
    </xf>
    <xf numFmtId="172" fontId="0" fillId="61" borderId="1" xfId="0" applyNumberFormat="1" applyFont="1" applyFill="1" applyBorder="1" applyAlignment="1" applyProtection="1">
      <alignment horizontal="center"/>
      <protection locked="0"/>
    </xf>
    <xf numFmtId="172" fontId="0" fillId="61" borderId="5" xfId="0" applyNumberFormat="1" applyFont="1" applyFill="1" applyBorder="1" applyAlignment="1" applyProtection="1">
      <alignment horizontal="center"/>
      <protection locked="0"/>
    </xf>
    <xf numFmtId="0" fontId="20" fillId="2" borderId="73" xfId="0" applyFont="1" applyFill="1" applyBorder="1" applyAlignment="1" applyProtection="1">
      <alignment horizontal="center" wrapText="1"/>
      <protection locked="0"/>
    </xf>
    <xf numFmtId="0" fontId="20" fillId="2" borderId="74" xfId="0" applyFont="1" applyFill="1" applyBorder="1" applyAlignment="1" applyProtection="1">
      <alignment horizontal="center" wrapText="1"/>
      <protection locked="0"/>
    </xf>
    <xf numFmtId="0" fontId="20" fillId="2" borderId="75" xfId="0" applyFont="1" applyFill="1" applyBorder="1" applyAlignment="1" applyProtection="1">
      <alignment horizontal="center" wrapText="1"/>
      <protection locked="0"/>
    </xf>
    <xf numFmtId="0" fontId="20" fillId="2" borderId="76" xfId="0" applyFont="1" applyFill="1" applyBorder="1" applyAlignment="1" applyProtection="1">
      <alignment horizontal="center" wrapText="1"/>
      <protection locked="0"/>
    </xf>
    <xf numFmtId="0" fontId="112" fillId="6" borderId="15" xfId="0" applyFont="1" applyFill="1" applyBorder="1" applyAlignment="1">
      <alignment horizontal="center" wrapText="1"/>
    </xf>
    <xf numFmtId="0" fontId="112" fillId="6" borderId="2" xfId="0" applyFont="1" applyFill="1" applyBorder="1" applyAlignment="1">
      <alignment horizontal="center" wrapText="1"/>
    </xf>
    <xf numFmtId="0" fontId="15" fillId="3" borderId="7" xfId="75" applyFont="1" applyFill="1" applyBorder="1" applyAlignment="1">
      <alignment horizontal="center" vertical="top"/>
    </xf>
    <xf numFmtId="0" fontId="15" fillId="3" borderId="15" xfId="75" applyFont="1" applyFill="1" applyBorder="1" applyAlignment="1">
      <alignment horizontal="center" vertical="top" wrapText="1"/>
    </xf>
    <xf numFmtId="0" fontId="15" fillId="3" borderId="2" xfId="75" applyFont="1" applyFill="1" applyBorder="1" applyAlignment="1">
      <alignment horizontal="center" vertical="top" wrapText="1"/>
    </xf>
    <xf numFmtId="0" fontId="15" fillId="3" borderId="7" xfId="75" applyFont="1" applyFill="1" applyBorder="1" applyAlignment="1">
      <alignment horizontal="center" vertical="top" wrapText="1"/>
    </xf>
    <xf numFmtId="0" fontId="14" fillId="3" borderId="7" xfId="75" applyFill="1" applyBorder="1" applyAlignment="1">
      <alignment horizontal="center" vertical="top"/>
    </xf>
    <xf numFmtId="0" fontId="14" fillId="3" borderId="15" xfId="75" applyFill="1" applyBorder="1" applyAlignment="1">
      <alignment horizontal="center" vertical="top"/>
    </xf>
    <xf numFmtId="0" fontId="15" fillId="2" borderId="5" xfId="0" applyFont="1" applyFill="1" applyBorder="1"/>
  </cellXfs>
  <cellStyles count="8706">
    <cellStyle name="%" xfId="8017" xr:uid="{00000000-0005-0000-0000-000000000000}"/>
    <cellStyle name="20% - Accent1 2" xfId="8018" xr:uid="{00000000-0005-0000-0000-000001000000}"/>
    <cellStyle name="20% - Accent1 2 2" xfId="8019" xr:uid="{00000000-0005-0000-0000-000002000000}"/>
    <cellStyle name="20% - Accent1 2 2 2" xfId="8020" xr:uid="{00000000-0005-0000-0000-000003000000}"/>
    <cellStyle name="20% - Accent1 2 2 3" xfId="8021" xr:uid="{00000000-0005-0000-0000-000004000000}"/>
    <cellStyle name="20% - Accent1 3" xfId="8022" xr:uid="{00000000-0005-0000-0000-000005000000}"/>
    <cellStyle name="20% - Accent2 2" xfId="8023" xr:uid="{00000000-0005-0000-0000-000006000000}"/>
    <cellStyle name="20% - Accent2 2 2" xfId="8024" xr:uid="{00000000-0005-0000-0000-000007000000}"/>
    <cellStyle name="20% - Accent2 2 2 2" xfId="8025" xr:uid="{00000000-0005-0000-0000-000008000000}"/>
    <cellStyle name="20% - Accent2 2 2 3" xfId="8026" xr:uid="{00000000-0005-0000-0000-000009000000}"/>
    <cellStyle name="20% - Accent2 3" xfId="8027" xr:uid="{00000000-0005-0000-0000-00000A000000}"/>
    <cellStyle name="20% - Accent3 2" xfId="8028" xr:uid="{00000000-0005-0000-0000-00000B000000}"/>
    <cellStyle name="20% - Accent3 2 2" xfId="8029" xr:uid="{00000000-0005-0000-0000-00000C000000}"/>
    <cellStyle name="20% - Accent3 2 2 2" xfId="8030" xr:uid="{00000000-0005-0000-0000-00000D000000}"/>
    <cellStyle name="20% - Accent3 2 2 3" xfId="8031" xr:uid="{00000000-0005-0000-0000-00000E000000}"/>
    <cellStyle name="20% - Accent3 3" xfId="8032" xr:uid="{00000000-0005-0000-0000-00000F000000}"/>
    <cellStyle name="20% - Accent4 2" xfId="8033" xr:uid="{00000000-0005-0000-0000-000010000000}"/>
    <cellStyle name="20% - Accent4 2 2" xfId="8034" xr:uid="{00000000-0005-0000-0000-000011000000}"/>
    <cellStyle name="20% - Accent4 2 2 2" xfId="8035" xr:uid="{00000000-0005-0000-0000-000012000000}"/>
    <cellStyle name="20% - Accent4 2 2 3" xfId="8036" xr:uid="{00000000-0005-0000-0000-000013000000}"/>
    <cellStyle name="20% - Accent4 3" xfId="8037" xr:uid="{00000000-0005-0000-0000-000014000000}"/>
    <cellStyle name="20% - Accent5 2" xfId="8038" xr:uid="{00000000-0005-0000-0000-000015000000}"/>
    <cellStyle name="20% - Accent5 2 2" xfId="8039" xr:uid="{00000000-0005-0000-0000-000016000000}"/>
    <cellStyle name="20% - Accent5 2 2 2" xfId="8040" xr:uid="{00000000-0005-0000-0000-000017000000}"/>
    <cellStyle name="20% - Accent5 2 2 3" xfId="8041" xr:uid="{00000000-0005-0000-0000-000018000000}"/>
    <cellStyle name="20% - Accent5 3" xfId="8042" xr:uid="{00000000-0005-0000-0000-000019000000}"/>
    <cellStyle name="20% - Accent6 2" xfId="8043" xr:uid="{00000000-0005-0000-0000-00001A000000}"/>
    <cellStyle name="20% - Accent6 2 2" xfId="8044" xr:uid="{00000000-0005-0000-0000-00001B000000}"/>
    <cellStyle name="20% - Accent6 2 2 2" xfId="8045" xr:uid="{00000000-0005-0000-0000-00001C000000}"/>
    <cellStyle name="20% - Accent6 2 2 3" xfId="8046" xr:uid="{00000000-0005-0000-0000-00001D000000}"/>
    <cellStyle name="20% - Accent6 3" xfId="8047" xr:uid="{00000000-0005-0000-0000-00001E000000}"/>
    <cellStyle name="40% - Accent1 2" xfId="8048" xr:uid="{00000000-0005-0000-0000-00001F000000}"/>
    <cellStyle name="40% - Accent1 2 2" xfId="8049" xr:uid="{00000000-0005-0000-0000-000020000000}"/>
    <cellStyle name="40% - Accent1 2 2 2" xfId="8050" xr:uid="{00000000-0005-0000-0000-000021000000}"/>
    <cellStyle name="40% - Accent1 2 2 3" xfId="8051" xr:uid="{00000000-0005-0000-0000-000022000000}"/>
    <cellStyle name="40% - Accent1 3" xfId="8052" xr:uid="{00000000-0005-0000-0000-000023000000}"/>
    <cellStyle name="40% - Accent2 2" xfId="8053" xr:uid="{00000000-0005-0000-0000-000024000000}"/>
    <cellStyle name="40% - Accent2 2 2" xfId="8054" xr:uid="{00000000-0005-0000-0000-000025000000}"/>
    <cellStyle name="40% - Accent2 2 2 2" xfId="8055" xr:uid="{00000000-0005-0000-0000-000026000000}"/>
    <cellStyle name="40% - Accent2 2 2 3" xfId="8056" xr:uid="{00000000-0005-0000-0000-000027000000}"/>
    <cellStyle name="40% - Accent2 3" xfId="8057" xr:uid="{00000000-0005-0000-0000-000028000000}"/>
    <cellStyle name="40% - Accent3 2" xfId="8058" xr:uid="{00000000-0005-0000-0000-000029000000}"/>
    <cellStyle name="40% - Accent3 2 2" xfId="8059" xr:uid="{00000000-0005-0000-0000-00002A000000}"/>
    <cellStyle name="40% - Accent3 2 2 2" xfId="8060" xr:uid="{00000000-0005-0000-0000-00002B000000}"/>
    <cellStyle name="40% - Accent3 2 2 3" xfId="8061" xr:uid="{00000000-0005-0000-0000-00002C000000}"/>
    <cellStyle name="40% - Accent3 3" xfId="8062" xr:uid="{00000000-0005-0000-0000-00002D000000}"/>
    <cellStyle name="40% - Accent4 2" xfId="8063" xr:uid="{00000000-0005-0000-0000-00002E000000}"/>
    <cellStyle name="40% - Accent4 2 2" xfId="8064" xr:uid="{00000000-0005-0000-0000-00002F000000}"/>
    <cellStyle name="40% - Accent4 2 2 2" xfId="8065" xr:uid="{00000000-0005-0000-0000-000030000000}"/>
    <cellStyle name="40% - Accent4 2 2 3" xfId="8066" xr:uid="{00000000-0005-0000-0000-000031000000}"/>
    <cellStyle name="40% - Accent4 3" xfId="8067" xr:uid="{00000000-0005-0000-0000-000032000000}"/>
    <cellStyle name="40% - Accent5 2" xfId="8068" xr:uid="{00000000-0005-0000-0000-000033000000}"/>
    <cellStyle name="40% - Accent5 2 2" xfId="8069" xr:uid="{00000000-0005-0000-0000-000034000000}"/>
    <cellStyle name="40% - Accent5 2 2 2" xfId="8070" xr:uid="{00000000-0005-0000-0000-000035000000}"/>
    <cellStyle name="40% - Accent5 2 2 3" xfId="8071" xr:uid="{00000000-0005-0000-0000-000036000000}"/>
    <cellStyle name="40% - Accent5 3" xfId="8072" xr:uid="{00000000-0005-0000-0000-000037000000}"/>
    <cellStyle name="40% - Accent6 2" xfId="8073" xr:uid="{00000000-0005-0000-0000-000038000000}"/>
    <cellStyle name="40% - Accent6 2 2" xfId="8074" xr:uid="{00000000-0005-0000-0000-000039000000}"/>
    <cellStyle name="40% - Accent6 2 2 2" xfId="8075" xr:uid="{00000000-0005-0000-0000-00003A000000}"/>
    <cellStyle name="40% - Accent6 2 2 3" xfId="8076" xr:uid="{00000000-0005-0000-0000-00003B000000}"/>
    <cellStyle name="40% - Accent6 3" xfId="8077" xr:uid="{00000000-0005-0000-0000-00003C000000}"/>
    <cellStyle name="5x indented GHG Textfiels" xfId="8078" xr:uid="{00000000-0005-0000-0000-00003D000000}"/>
    <cellStyle name="60% - Accent1 2" xfId="8079" xr:uid="{00000000-0005-0000-0000-00003E000000}"/>
    <cellStyle name="60% - Accent1 2 2" xfId="8080" xr:uid="{00000000-0005-0000-0000-00003F000000}"/>
    <cellStyle name="60% - Accent1 2 2 2" xfId="8081" xr:uid="{00000000-0005-0000-0000-000040000000}"/>
    <cellStyle name="60% - Accent1 2 2 3" xfId="8082" xr:uid="{00000000-0005-0000-0000-000041000000}"/>
    <cellStyle name="60% - Accent1 3" xfId="8083" xr:uid="{00000000-0005-0000-0000-000042000000}"/>
    <cellStyle name="60% - Accent2 2" xfId="8084" xr:uid="{00000000-0005-0000-0000-000043000000}"/>
    <cellStyle name="60% - Accent2 2 2" xfId="8085" xr:uid="{00000000-0005-0000-0000-000044000000}"/>
    <cellStyle name="60% - Accent2 2 2 2" xfId="8086" xr:uid="{00000000-0005-0000-0000-000045000000}"/>
    <cellStyle name="60% - Accent2 2 2 3" xfId="8087" xr:uid="{00000000-0005-0000-0000-000046000000}"/>
    <cellStyle name="60% - Accent2 3" xfId="8088" xr:uid="{00000000-0005-0000-0000-000047000000}"/>
    <cellStyle name="60% - Accent3 2" xfId="8089" xr:uid="{00000000-0005-0000-0000-000048000000}"/>
    <cellStyle name="60% - Accent3 2 2" xfId="8090" xr:uid="{00000000-0005-0000-0000-000049000000}"/>
    <cellStyle name="60% - Accent3 2 2 2" xfId="8091" xr:uid="{00000000-0005-0000-0000-00004A000000}"/>
    <cellStyle name="60% - Accent3 2 2 3" xfId="8092" xr:uid="{00000000-0005-0000-0000-00004B000000}"/>
    <cellStyle name="60% - Accent3 3" xfId="8093" xr:uid="{00000000-0005-0000-0000-00004C000000}"/>
    <cellStyle name="60% - Accent4 2" xfId="8094" xr:uid="{00000000-0005-0000-0000-00004D000000}"/>
    <cellStyle name="60% - Accent4 2 2" xfId="8095" xr:uid="{00000000-0005-0000-0000-00004E000000}"/>
    <cellStyle name="60% - Accent4 2 2 2" xfId="8096" xr:uid="{00000000-0005-0000-0000-00004F000000}"/>
    <cellStyle name="60% - Accent4 2 2 3" xfId="8097" xr:uid="{00000000-0005-0000-0000-000050000000}"/>
    <cellStyle name="60% - Accent4 3" xfId="8098" xr:uid="{00000000-0005-0000-0000-000051000000}"/>
    <cellStyle name="60% - Accent5 2" xfId="8099" xr:uid="{00000000-0005-0000-0000-000052000000}"/>
    <cellStyle name="60% - Accent5 2 2" xfId="8100" xr:uid="{00000000-0005-0000-0000-000053000000}"/>
    <cellStyle name="60% - Accent5 2 2 2" xfId="8101" xr:uid="{00000000-0005-0000-0000-000054000000}"/>
    <cellStyle name="60% - Accent5 2 2 3" xfId="8102" xr:uid="{00000000-0005-0000-0000-000055000000}"/>
    <cellStyle name="60% - Accent5 3" xfId="8103" xr:uid="{00000000-0005-0000-0000-000056000000}"/>
    <cellStyle name="60% - Accent6 2" xfId="8104" xr:uid="{00000000-0005-0000-0000-000057000000}"/>
    <cellStyle name="60% - Accent6 2 2" xfId="8105" xr:uid="{00000000-0005-0000-0000-000058000000}"/>
    <cellStyle name="60% - Accent6 2 2 2" xfId="8106" xr:uid="{00000000-0005-0000-0000-000059000000}"/>
    <cellStyle name="60% - Accent6 2 2 3" xfId="8107" xr:uid="{00000000-0005-0000-0000-00005A000000}"/>
    <cellStyle name="60% - Accent6 3" xfId="8108" xr:uid="{00000000-0005-0000-0000-00005B000000}"/>
    <cellStyle name="Accent1 2" xfId="8109" xr:uid="{00000000-0005-0000-0000-00005C000000}"/>
    <cellStyle name="Accent1 2 2" xfId="8110" xr:uid="{00000000-0005-0000-0000-00005D000000}"/>
    <cellStyle name="Accent1 2 2 2" xfId="8111" xr:uid="{00000000-0005-0000-0000-00005E000000}"/>
    <cellStyle name="Accent1 2 2 3" xfId="8112" xr:uid="{00000000-0005-0000-0000-00005F000000}"/>
    <cellStyle name="Accent1 3" xfId="8113" xr:uid="{00000000-0005-0000-0000-000060000000}"/>
    <cellStyle name="Accent2 2" xfId="8114" xr:uid="{00000000-0005-0000-0000-000061000000}"/>
    <cellStyle name="Accent2 2 2" xfId="8115" xr:uid="{00000000-0005-0000-0000-000062000000}"/>
    <cellStyle name="Accent2 2 2 2" xfId="8116" xr:uid="{00000000-0005-0000-0000-000063000000}"/>
    <cellStyle name="Accent2 2 2 3" xfId="8117" xr:uid="{00000000-0005-0000-0000-000064000000}"/>
    <cellStyle name="Accent2 3" xfId="8118" xr:uid="{00000000-0005-0000-0000-000065000000}"/>
    <cellStyle name="Accent3 2" xfId="8119" xr:uid="{00000000-0005-0000-0000-000066000000}"/>
    <cellStyle name="Accent3 2 2" xfId="8120" xr:uid="{00000000-0005-0000-0000-000067000000}"/>
    <cellStyle name="Accent3 2 2 2" xfId="8121" xr:uid="{00000000-0005-0000-0000-000068000000}"/>
    <cellStyle name="Accent3 2 2 3" xfId="8122" xr:uid="{00000000-0005-0000-0000-000069000000}"/>
    <cellStyle name="Accent3 3" xfId="8123" xr:uid="{00000000-0005-0000-0000-00006A000000}"/>
    <cellStyle name="Accent4 2" xfId="8124" xr:uid="{00000000-0005-0000-0000-00006B000000}"/>
    <cellStyle name="Accent4 2 2" xfId="8125" xr:uid="{00000000-0005-0000-0000-00006C000000}"/>
    <cellStyle name="Accent4 2 2 2" xfId="8126" xr:uid="{00000000-0005-0000-0000-00006D000000}"/>
    <cellStyle name="Accent4 2 2 3" xfId="8127" xr:uid="{00000000-0005-0000-0000-00006E000000}"/>
    <cellStyle name="Accent4 3" xfId="8128" xr:uid="{00000000-0005-0000-0000-00006F000000}"/>
    <cellStyle name="Accent5 2" xfId="8129" xr:uid="{00000000-0005-0000-0000-000070000000}"/>
    <cellStyle name="Accent5 2 2" xfId="8130" xr:uid="{00000000-0005-0000-0000-000071000000}"/>
    <cellStyle name="Accent5 2 2 2" xfId="8131" xr:uid="{00000000-0005-0000-0000-000072000000}"/>
    <cellStyle name="Accent5 2 2 3" xfId="8132" xr:uid="{00000000-0005-0000-0000-000073000000}"/>
    <cellStyle name="Accent5 3" xfId="8133" xr:uid="{00000000-0005-0000-0000-000074000000}"/>
    <cellStyle name="Accent6 2" xfId="8134" xr:uid="{00000000-0005-0000-0000-000075000000}"/>
    <cellStyle name="Accent6 2 2" xfId="8135" xr:uid="{00000000-0005-0000-0000-000076000000}"/>
    <cellStyle name="Accent6 2 2 2" xfId="8136" xr:uid="{00000000-0005-0000-0000-000077000000}"/>
    <cellStyle name="Accent6 2 2 3" xfId="8137" xr:uid="{00000000-0005-0000-0000-000078000000}"/>
    <cellStyle name="Accent6 3" xfId="8138" xr:uid="{00000000-0005-0000-0000-000079000000}"/>
    <cellStyle name="AggblueCels_1x" xfId="8139" xr:uid="{00000000-0005-0000-0000-00007A000000}"/>
    <cellStyle name="Bad 2" xfId="8140" xr:uid="{00000000-0005-0000-0000-00007B000000}"/>
    <cellStyle name="Bad 2 2" xfId="8141" xr:uid="{00000000-0005-0000-0000-00007C000000}"/>
    <cellStyle name="Bad 2 2 2" xfId="8142" xr:uid="{00000000-0005-0000-0000-00007D000000}"/>
    <cellStyle name="Bad 2 2 3" xfId="8143" xr:uid="{00000000-0005-0000-0000-00007E000000}"/>
    <cellStyle name="Bad 3" xfId="8144" xr:uid="{00000000-0005-0000-0000-00007F000000}"/>
    <cellStyle name="Bold GHG Numbers (0.00)" xfId="8145" xr:uid="{00000000-0005-0000-0000-000080000000}"/>
    <cellStyle name="Calculation 2" xfId="8146" xr:uid="{00000000-0005-0000-0000-000081000000}"/>
    <cellStyle name="Calculation 2 10" xfId="8492" xr:uid="{00000000-0005-0000-0000-000082000000}"/>
    <cellStyle name="Calculation 2 11" xfId="8649" xr:uid="{00000000-0005-0000-0000-000083000000}"/>
    <cellStyle name="Calculation 2 2" xfId="8147" xr:uid="{00000000-0005-0000-0000-000084000000}"/>
    <cellStyle name="Calculation 2 2 2" xfId="8148" xr:uid="{00000000-0005-0000-0000-000085000000}"/>
    <cellStyle name="Calculation 2 2 2 10" xfId="8454" xr:uid="{00000000-0005-0000-0000-000086000000}"/>
    <cellStyle name="Calculation 2 2 2 2" xfId="8149" xr:uid="{00000000-0005-0000-0000-000087000000}"/>
    <cellStyle name="Calculation 2 2 2 2 2" xfId="8548" xr:uid="{00000000-0005-0000-0000-000088000000}"/>
    <cellStyle name="Calculation 2 2 2 2 3" xfId="8541" xr:uid="{00000000-0005-0000-0000-000089000000}"/>
    <cellStyle name="Calculation 2 2 2 2 4" xfId="8425" xr:uid="{00000000-0005-0000-0000-00008A000000}"/>
    <cellStyle name="Calculation 2 2 2 2 5" xfId="8428" xr:uid="{00000000-0005-0000-0000-00008B000000}"/>
    <cellStyle name="Calculation 2 2 2 2 6" xfId="8573" xr:uid="{00000000-0005-0000-0000-00008C000000}"/>
    <cellStyle name="Calculation 2 2 2 2 7" xfId="8508" xr:uid="{00000000-0005-0000-0000-00008D000000}"/>
    <cellStyle name="Calculation 2 2 2 2 8" xfId="8653" xr:uid="{00000000-0005-0000-0000-00008E000000}"/>
    <cellStyle name="Calculation 2 2 2 3" xfId="8150" xr:uid="{00000000-0005-0000-0000-00008F000000}"/>
    <cellStyle name="Calculation 2 2 2 3 2" xfId="8513" xr:uid="{00000000-0005-0000-0000-000090000000}"/>
    <cellStyle name="Calculation 2 2 2 3 3" xfId="8385" xr:uid="{00000000-0005-0000-0000-000091000000}"/>
    <cellStyle name="Calculation 2 2 2 3 4" xfId="8580" xr:uid="{00000000-0005-0000-0000-000092000000}"/>
    <cellStyle name="Calculation 2 2 2 3 5" xfId="8460" xr:uid="{00000000-0005-0000-0000-000093000000}"/>
    <cellStyle name="Calculation 2 2 2 3 6" xfId="8638" xr:uid="{00000000-0005-0000-0000-000094000000}"/>
    <cellStyle name="Calculation 2 2 2 3 7" xfId="8656" xr:uid="{00000000-0005-0000-0000-000095000000}"/>
    <cellStyle name="Calculation 2 2 2 3 8" xfId="8576" xr:uid="{00000000-0005-0000-0000-000096000000}"/>
    <cellStyle name="Calculation 2 2 2 4" xfId="8493" xr:uid="{00000000-0005-0000-0000-000097000000}"/>
    <cellStyle name="Calculation 2 2 2 5" xfId="8484" xr:uid="{00000000-0005-0000-0000-000098000000}"/>
    <cellStyle name="Calculation 2 2 2 6" xfId="8557" xr:uid="{00000000-0005-0000-0000-000099000000}"/>
    <cellStyle name="Calculation 2 2 2 7" xfId="8597" xr:uid="{00000000-0005-0000-0000-00009A000000}"/>
    <cellStyle name="Calculation 2 2 2 8" xfId="8608" xr:uid="{00000000-0005-0000-0000-00009B000000}"/>
    <cellStyle name="Calculation 2 2 2 9" xfId="8634" xr:uid="{00000000-0005-0000-0000-00009C000000}"/>
    <cellStyle name="Calculation 2 2 3" xfId="8567" xr:uid="{00000000-0005-0000-0000-00009D000000}"/>
    <cellStyle name="Calculation 2 2 4" xfId="8521" xr:uid="{00000000-0005-0000-0000-00009E000000}"/>
    <cellStyle name="Calculation 2 2 5" xfId="8596" xr:uid="{00000000-0005-0000-0000-00009F000000}"/>
    <cellStyle name="Calculation 2 2 6" xfId="8472" xr:uid="{00000000-0005-0000-0000-0000A0000000}"/>
    <cellStyle name="Calculation 2 2 7" xfId="8599" xr:uid="{00000000-0005-0000-0000-0000A1000000}"/>
    <cellStyle name="Calculation 2 2 8" xfId="8510" xr:uid="{00000000-0005-0000-0000-0000A2000000}"/>
    <cellStyle name="Calculation 2 2 9" xfId="8412" xr:uid="{00000000-0005-0000-0000-0000A3000000}"/>
    <cellStyle name="Calculation 2 3" xfId="8151" xr:uid="{00000000-0005-0000-0000-0000A4000000}"/>
    <cellStyle name="Calculation 2 3 2" xfId="8152" xr:uid="{00000000-0005-0000-0000-0000A5000000}"/>
    <cellStyle name="Calculation 2 3 2 10" xfId="8661" xr:uid="{00000000-0005-0000-0000-0000A6000000}"/>
    <cellStyle name="Calculation 2 3 2 2" xfId="8153" xr:uid="{00000000-0005-0000-0000-0000A7000000}"/>
    <cellStyle name="Calculation 2 3 2 2 2" xfId="8574" xr:uid="{00000000-0005-0000-0000-0000A8000000}"/>
    <cellStyle name="Calculation 2 3 2 2 3" xfId="8392" xr:uid="{00000000-0005-0000-0000-0000A9000000}"/>
    <cellStyle name="Calculation 2 3 2 2 4" xfId="8606" xr:uid="{00000000-0005-0000-0000-0000AA000000}"/>
    <cellStyle name="Calculation 2 3 2 2 5" xfId="8464" xr:uid="{00000000-0005-0000-0000-0000AB000000}"/>
    <cellStyle name="Calculation 2 3 2 2 6" xfId="8595" xr:uid="{00000000-0005-0000-0000-0000AC000000}"/>
    <cellStyle name="Calculation 2 3 2 2 7" xfId="8594" xr:uid="{00000000-0005-0000-0000-0000AD000000}"/>
    <cellStyle name="Calculation 2 3 2 2 8" xfId="8645" xr:uid="{00000000-0005-0000-0000-0000AE000000}"/>
    <cellStyle name="Calculation 2 3 2 3" xfId="8154" xr:uid="{00000000-0005-0000-0000-0000AF000000}"/>
    <cellStyle name="Calculation 2 3 2 3 2" xfId="8418" xr:uid="{00000000-0005-0000-0000-0000B0000000}"/>
    <cellStyle name="Calculation 2 3 2 3 3" xfId="8453" xr:uid="{00000000-0005-0000-0000-0000B1000000}"/>
    <cellStyle name="Calculation 2 3 2 3 4" xfId="8569" xr:uid="{00000000-0005-0000-0000-0000B2000000}"/>
    <cellStyle name="Calculation 2 3 2 3 5" xfId="8455" xr:uid="{00000000-0005-0000-0000-0000B3000000}"/>
    <cellStyle name="Calculation 2 3 2 3 6" xfId="8637" xr:uid="{00000000-0005-0000-0000-0000B4000000}"/>
    <cellStyle name="Calculation 2 3 2 3 7" xfId="8629" xr:uid="{00000000-0005-0000-0000-0000B5000000}"/>
    <cellStyle name="Calculation 2 3 2 3 8" xfId="8660" xr:uid="{00000000-0005-0000-0000-0000B6000000}"/>
    <cellStyle name="Calculation 2 3 2 4" xfId="8506" xr:uid="{00000000-0005-0000-0000-0000B7000000}"/>
    <cellStyle name="Calculation 2 3 2 5" xfId="8544" xr:uid="{00000000-0005-0000-0000-0000B8000000}"/>
    <cellStyle name="Calculation 2 3 2 6" xfId="8450" xr:uid="{00000000-0005-0000-0000-0000B9000000}"/>
    <cellStyle name="Calculation 2 3 2 7" xfId="8468" xr:uid="{00000000-0005-0000-0000-0000BA000000}"/>
    <cellStyle name="Calculation 2 3 2 8" xfId="8529" xr:uid="{00000000-0005-0000-0000-0000BB000000}"/>
    <cellStyle name="Calculation 2 3 2 9" xfId="8607" xr:uid="{00000000-0005-0000-0000-0000BC000000}"/>
    <cellStyle name="Calculation 2 3 3" xfId="8424" xr:uid="{00000000-0005-0000-0000-0000BD000000}"/>
    <cellStyle name="Calculation 2 3 4" xfId="8445" xr:uid="{00000000-0005-0000-0000-0000BE000000}"/>
    <cellStyle name="Calculation 2 3 5" xfId="8540" xr:uid="{00000000-0005-0000-0000-0000BF000000}"/>
    <cellStyle name="Calculation 2 3 6" xfId="8466" xr:uid="{00000000-0005-0000-0000-0000C0000000}"/>
    <cellStyle name="Calculation 2 3 7" xfId="8406" xr:uid="{00000000-0005-0000-0000-0000C1000000}"/>
    <cellStyle name="Calculation 2 3 8" xfId="8537" xr:uid="{00000000-0005-0000-0000-0000C2000000}"/>
    <cellStyle name="Calculation 2 3 9" xfId="8625" xr:uid="{00000000-0005-0000-0000-0000C3000000}"/>
    <cellStyle name="Calculation 2 4" xfId="8155" xr:uid="{00000000-0005-0000-0000-0000C4000000}"/>
    <cellStyle name="Calculation 2 4 10" xfId="8657" xr:uid="{00000000-0005-0000-0000-0000C5000000}"/>
    <cellStyle name="Calculation 2 4 2" xfId="8156" xr:uid="{00000000-0005-0000-0000-0000C6000000}"/>
    <cellStyle name="Calculation 2 4 2 2" xfId="8457" xr:uid="{00000000-0005-0000-0000-0000C7000000}"/>
    <cellStyle name="Calculation 2 4 2 3" xfId="8517" xr:uid="{00000000-0005-0000-0000-0000C8000000}"/>
    <cellStyle name="Calculation 2 4 2 4" xfId="8398" xr:uid="{00000000-0005-0000-0000-0000C9000000}"/>
    <cellStyle name="Calculation 2 4 2 5" xfId="8528" xr:uid="{00000000-0005-0000-0000-0000CA000000}"/>
    <cellStyle name="Calculation 2 4 2 6" xfId="8571" xr:uid="{00000000-0005-0000-0000-0000CB000000}"/>
    <cellStyle name="Calculation 2 4 2 7" xfId="8545" xr:uid="{00000000-0005-0000-0000-0000CC000000}"/>
    <cellStyle name="Calculation 2 4 2 8" xfId="8581" xr:uid="{00000000-0005-0000-0000-0000CD000000}"/>
    <cellStyle name="Calculation 2 4 3" xfId="8157" xr:uid="{00000000-0005-0000-0000-0000CE000000}"/>
    <cellStyle name="Calculation 2 4 3 2" xfId="8502" xr:uid="{00000000-0005-0000-0000-0000CF000000}"/>
    <cellStyle name="Calculation 2 4 3 3" xfId="8490" xr:uid="{00000000-0005-0000-0000-0000D0000000}"/>
    <cellStyle name="Calculation 2 4 3 4" xfId="8602" xr:uid="{00000000-0005-0000-0000-0000D1000000}"/>
    <cellStyle name="Calculation 2 4 3 5" xfId="8519" xr:uid="{00000000-0005-0000-0000-0000D2000000}"/>
    <cellStyle name="Calculation 2 4 3 6" xfId="8586" xr:uid="{00000000-0005-0000-0000-0000D3000000}"/>
    <cellStyle name="Calculation 2 4 3 7" xfId="8592" xr:uid="{00000000-0005-0000-0000-0000D4000000}"/>
    <cellStyle name="Calculation 2 4 3 8" xfId="8662" xr:uid="{00000000-0005-0000-0000-0000D5000000}"/>
    <cellStyle name="Calculation 2 4 4" xfId="8553" xr:uid="{00000000-0005-0000-0000-0000D6000000}"/>
    <cellStyle name="Calculation 2 4 5" xfId="8499" xr:uid="{00000000-0005-0000-0000-0000D7000000}"/>
    <cellStyle name="Calculation 2 4 6" xfId="8427" xr:uid="{00000000-0005-0000-0000-0000D8000000}"/>
    <cellStyle name="Calculation 2 4 7" xfId="8610" xr:uid="{00000000-0005-0000-0000-0000D9000000}"/>
    <cellStyle name="Calculation 2 4 8" xfId="8409" xr:uid="{00000000-0005-0000-0000-0000DA000000}"/>
    <cellStyle name="Calculation 2 4 9" xfId="8386" xr:uid="{00000000-0005-0000-0000-0000DB000000}"/>
    <cellStyle name="Calculation 2 5" xfId="8442" xr:uid="{00000000-0005-0000-0000-0000DC000000}"/>
    <cellStyle name="Calculation 2 6" xfId="8575" xr:uid="{00000000-0005-0000-0000-0000DD000000}"/>
    <cellStyle name="Calculation 2 7" xfId="8469" xr:uid="{00000000-0005-0000-0000-0000DE000000}"/>
    <cellStyle name="Calculation 2 8" xfId="8434" xr:uid="{00000000-0005-0000-0000-0000DF000000}"/>
    <cellStyle name="Calculation 2 9" xfId="8483" xr:uid="{00000000-0005-0000-0000-0000E0000000}"/>
    <cellStyle name="Calculation 3" xfId="8158" xr:uid="{00000000-0005-0000-0000-0000E1000000}"/>
    <cellStyle name="Check Cell 2" xfId="8159" xr:uid="{00000000-0005-0000-0000-0000E2000000}"/>
    <cellStyle name="Check Cell 2 2" xfId="8160" xr:uid="{00000000-0005-0000-0000-0000E3000000}"/>
    <cellStyle name="Check Cell 2 2 2" xfId="8161" xr:uid="{00000000-0005-0000-0000-0000E4000000}"/>
    <cellStyle name="Check Cell 2 2 3" xfId="8162" xr:uid="{00000000-0005-0000-0000-0000E5000000}"/>
    <cellStyle name="Check Cell 3" xfId="8163" xr:uid="{00000000-0005-0000-0000-0000E6000000}"/>
    <cellStyle name="Comma" xfId="300" builtinId="3"/>
    <cellStyle name="Comma 2" xfId="1194" xr:uid="{00000000-0005-0000-0000-0000E8000000}"/>
    <cellStyle name="Comma 2 2" xfId="8164" xr:uid="{00000000-0005-0000-0000-0000E9000000}"/>
    <cellStyle name="Comma 2 2 2" xfId="8165" xr:uid="{00000000-0005-0000-0000-0000EA000000}"/>
    <cellStyle name="Comma 2 3" xfId="8166" xr:uid="{00000000-0005-0000-0000-0000EB000000}"/>
    <cellStyle name="Comma 2 3 2" xfId="8167" xr:uid="{00000000-0005-0000-0000-0000EC000000}"/>
    <cellStyle name="Comma 2 4" xfId="8168" xr:uid="{00000000-0005-0000-0000-0000ED000000}"/>
    <cellStyle name="Comma 2 4 2" xfId="8169" xr:uid="{00000000-0005-0000-0000-0000EE000000}"/>
    <cellStyle name="Comma 2 5" xfId="8170" xr:uid="{00000000-0005-0000-0000-0000EF000000}"/>
    <cellStyle name="Comma 2 6" xfId="8171" xr:uid="{00000000-0005-0000-0000-0000F0000000}"/>
    <cellStyle name="Comma 2 7" xfId="8172" xr:uid="{00000000-0005-0000-0000-0000F1000000}"/>
    <cellStyle name="Comma 2 8" xfId="8674" xr:uid="{00000000-0005-0000-0000-0000F2000000}"/>
    <cellStyle name="Comma 2 9" xfId="8680" xr:uid="{B9758BCC-94C7-4DD0-B541-D858BC914307}"/>
    <cellStyle name="Comma 3" xfId="8006" xr:uid="{00000000-0005-0000-0000-0000F3000000}"/>
    <cellStyle name="Comma 3 2" xfId="8173" xr:uid="{00000000-0005-0000-0000-0000F4000000}"/>
    <cellStyle name="Comma 3 3" xfId="8174" xr:uid="{00000000-0005-0000-0000-0000F5000000}"/>
    <cellStyle name="Comma 3 4" xfId="8503" xr:uid="{00000000-0005-0000-0000-0000F6000000}"/>
    <cellStyle name="Comma 3 5" xfId="8681" xr:uid="{7497CBB0-D169-49D5-81D6-9EB1DDF3D9FF}"/>
    <cellStyle name="Comma 4" xfId="8003" xr:uid="{00000000-0005-0000-0000-0000F7000000}"/>
    <cellStyle name="Comma 4 2" xfId="8175" xr:uid="{00000000-0005-0000-0000-0000F8000000}"/>
    <cellStyle name="Comma 4 3" xfId="8176" xr:uid="{00000000-0005-0000-0000-0000F9000000}"/>
    <cellStyle name="Comma 5" xfId="8014" xr:uid="{00000000-0005-0000-0000-0000FA000000}"/>
    <cellStyle name="Comma 5 2" xfId="8177" xr:uid="{00000000-0005-0000-0000-0000FB000000}"/>
    <cellStyle name="Comma 5 3" xfId="8178" xr:uid="{00000000-0005-0000-0000-0000FC000000}"/>
    <cellStyle name="Comma 5 4" xfId="8179" xr:uid="{00000000-0005-0000-0000-0000FD000000}"/>
    <cellStyle name="Comma 6" xfId="8180" xr:uid="{00000000-0005-0000-0000-0000FE000000}"/>
    <cellStyle name="Comma 7" xfId="8671" xr:uid="{00000000-0005-0000-0000-0000FF000000}"/>
    <cellStyle name="Comma 8" xfId="8678" xr:uid="{A958B9DE-C857-48CA-BA5F-8E72CE4B353A}"/>
    <cellStyle name="Cover" xfId="8181" xr:uid="{00000000-0005-0000-0000-000000010000}"/>
    <cellStyle name="Cover 2" xfId="8182" xr:uid="{00000000-0005-0000-0000-000001010000}"/>
    <cellStyle name="Currency" xfId="8010" builtinId="4"/>
    <cellStyle name="Currency 2" xfId="8183" xr:uid="{00000000-0005-0000-0000-000003010000}"/>
    <cellStyle name="Currency 2 2" xfId="8184" xr:uid="{00000000-0005-0000-0000-000004010000}"/>
    <cellStyle name="Currency 2 3" xfId="8185" xr:uid="{00000000-0005-0000-0000-000005010000}"/>
    <cellStyle name="Currency 2 4" xfId="8675" xr:uid="{00000000-0005-0000-0000-000006010000}"/>
    <cellStyle name="Currency 3" xfId="8186" xr:uid="{00000000-0005-0000-0000-000007010000}"/>
    <cellStyle name="Currency 4" xfId="8187" xr:uid="{00000000-0005-0000-0000-000008010000}"/>
    <cellStyle name="Dezimal [0]_Tfz-Anzahl" xfId="8188" xr:uid="{00000000-0005-0000-0000-000009010000}"/>
    <cellStyle name="Dezimal_Tfz-Anzahl" xfId="8189" xr:uid="{00000000-0005-0000-0000-00000A010000}"/>
    <cellStyle name="Euro" xfId="8190" xr:uid="{00000000-0005-0000-0000-00000B010000}"/>
    <cellStyle name="Euro 2" xfId="8191" xr:uid="{00000000-0005-0000-0000-00000C010000}"/>
    <cellStyle name="Explanatory Text 2" xfId="8192" xr:uid="{00000000-0005-0000-0000-00000D010000}"/>
    <cellStyle name="Explanatory Text 3" xfId="8193" xr:uid="{00000000-0005-0000-0000-00000E010000}"/>
    <cellStyle name="Followed Hyperlink" xfId="3984" builtinId="9" hidden="1"/>
    <cellStyle name="Followed Hyperlink" xfId="4112" builtinId="9" hidden="1"/>
    <cellStyle name="Followed Hyperlink" xfId="4237" builtinId="9" hidden="1"/>
    <cellStyle name="Followed Hyperlink" xfId="4365" builtinId="9" hidden="1"/>
    <cellStyle name="Followed Hyperlink" xfId="4484" builtinId="9" hidden="1"/>
    <cellStyle name="Followed Hyperlink" xfId="4614" builtinId="9" hidden="1"/>
    <cellStyle name="Followed Hyperlink" xfId="4742" builtinId="9" hidden="1"/>
    <cellStyle name="Followed Hyperlink" xfId="4877" builtinId="9" hidden="1"/>
    <cellStyle name="Followed Hyperlink" xfId="5005" builtinId="9" hidden="1"/>
    <cellStyle name="Followed Hyperlink" xfId="5130" builtinId="9" hidden="1"/>
    <cellStyle name="Followed Hyperlink" xfId="5258" builtinId="9" hidden="1"/>
    <cellStyle name="Followed Hyperlink" xfId="5388" builtinId="9" hidden="1"/>
    <cellStyle name="Followed Hyperlink" xfId="5516" builtinId="9" hidden="1"/>
    <cellStyle name="Followed Hyperlink" xfId="5647" builtinId="9" hidden="1"/>
    <cellStyle name="Followed Hyperlink" xfId="5776" builtinId="9" hidden="1"/>
    <cellStyle name="Followed Hyperlink" xfId="5904" builtinId="9" hidden="1"/>
    <cellStyle name="Followed Hyperlink" xfId="6029" builtinId="9" hidden="1"/>
    <cellStyle name="Followed Hyperlink" xfId="6157" builtinId="9" hidden="1"/>
    <cellStyle name="Followed Hyperlink" xfId="6275" builtinId="9" hidden="1"/>
    <cellStyle name="Followed Hyperlink" xfId="6403" builtinId="9" hidden="1"/>
    <cellStyle name="Followed Hyperlink" xfId="6533" builtinId="9" hidden="1"/>
    <cellStyle name="Followed Hyperlink" xfId="6662" builtinId="9" hidden="1"/>
    <cellStyle name="Followed Hyperlink" xfId="6790" builtinId="9" hidden="1"/>
    <cellStyle name="Followed Hyperlink" xfId="6915" builtinId="9" hidden="1"/>
    <cellStyle name="Followed Hyperlink" xfId="7043" builtinId="9" hidden="1"/>
    <cellStyle name="Followed Hyperlink" xfId="7171" builtinId="9" hidden="1"/>
    <cellStyle name="Followed Hyperlink" xfId="7299" builtinId="9" hidden="1"/>
    <cellStyle name="Followed Hyperlink" xfId="7429" builtinId="9" hidden="1"/>
    <cellStyle name="Followed Hyperlink" xfId="7558" builtinId="9" hidden="1"/>
    <cellStyle name="Followed Hyperlink" xfId="7686" builtinId="9" hidden="1"/>
    <cellStyle name="Followed Hyperlink" xfId="7811" builtinId="9" hidden="1"/>
    <cellStyle name="Followed Hyperlink" xfId="7939" builtinId="9" hidden="1"/>
    <cellStyle name="Followed Hyperlink" xfId="7937" builtinId="9" hidden="1"/>
    <cellStyle name="Followed Hyperlink" xfId="7809" builtinId="9" hidden="1"/>
    <cellStyle name="Followed Hyperlink" xfId="7684" builtinId="9" hidden="1"/>
    <cellStyle name="Followed Hyperlink" xfId="7556" builtinId="9" hidden="1"/>
    <cellStyle name="Followed Hyperlink" xfId="7427" builtinId="9" hidden="1"/>
    <cellStyle name="Followed Hyperlink" xfId="7297" builtinId="9" hidden="1"/>
    <cellStyle name="Followed Hyperlink" xfId="7169" builtinId="9" hidden="1"/>
    <cellStyle name="Followed Hyperlink" xfId="7041" builtinId="9" hidden="1"/>
    <cellStyle name="Followed Hyperlink" xfId="6913" builtinId="9" hidden="1"/>
    <cellStyle name="Followed Hyperlink" xfId="6788" builtinId="9" hidden="1"/>
    <cellStyle name="Followed Hyperlink" xfId="6660" builtinId="9" hidden="1"/>
    <cellStyle name="Followed Hyperlink" xfId="6531" builtinId="9" hidden="1"/>
    <cellStyle name="Followed Hyperlink" xfId="6401" builtinId="9" hidden="1"/>
    <cellStyle name="Followed Hyperlink" xfId="6273" builtinId="9" hidden="1"/>
    <cellStyle name="Followed Hyperlink" xfId="6155" builtinId="9" hidden="1"/>
    <cellStyle name="Followed Hyperlink" xfId="6027" builtinId="9" hidden="1"/>
    <cellStyle name="Followed Hyperlink" xfId="5902" builtinId="9" hidden="1"/>
    <cellStyle name="Followed Hyperlink" xfId="5774" builtinId="9" hidden="1"/>
    <cellStyle name="Followed Hyperlink" xfId="5642" builtinId="9" hidden="1"/>
    <cellStyle name="Followed Hyperlink" xfId="5514" builtinId="9" hidden="1"/>
    <cellStyle name="Followed Hyperlink" xfId="5386" builtinId="9" hidden="1"/>
    <cellStyle name="Followed Hyperlink" xfId="5256" builtinId="9" hidden="1"/>
    <cellStyle name="Followed Hyperlink" xfId="5128" builtinId="9" hidden="1"/>
    <cellStyle name="Followed Hyperlink" xfId="5003" builtinId="9" hidden="1"/>
    <cellStyle name="Followed Hyperlink" xfId="4875" builtinId="9" hidden="1"/>
    <cellStyle name="Followed Hyperlink" xfId="4740" builtinId="9" hidden="1"/>
    <cellStyle name="Followed Hyperlink" xfId="4612" builtinId="9" hidden="1"/>
    <cellStyle name="Followed Hyperlink" xfId="4482" builtinId="9" hidden="1"/>
    <cellStyle name="Followed Hyperlink" xfId="4363" builtinId="9" hidden="1"/>
    <cellStyle name="Followed Hyperlink" xfId="4235" builtinId="9" hidden="1"/>
    <cellStyle name="Followed Hyperlink" xfId="4110" builtinId="9" hidden="1"/>
    <cellStyle name="Followed Hyperlink" xfId="3982" builtinId="9" hidden="1"/>
    <cellStyle name="Followed Hyperlink" xfId="3849" builtinId="9" hidden="1"/>
    <cellStyle name="Followed Hyperlink" xfId="3721" builtinId="9" hidden="1"/>
    <cellStyle name="Followed Hyperlink" xfId="3593" builtinId="9" hidden="1"/>
    <cellStyle name="Followed Hyperlink" xfId="3464" builtinId="9" hidden="1"/>
    <cellStyle name="Followed Hyperlink" xfId="3336" builtinId="9" hidden="1"/>
    <cellStyle name="Followed Hyperlink" xfId="3211" builtinId="9" hidden="1"/>
    <cellStyle name="Followed Hyperlink" xfId="3083" builtinId="9" hidden="1"/>
    <cellStyle name="Followed Hyperlink" xfId="2948" builtinId="9" hidden="1"/>
    <cellStyle name="Followed Hyperlink" xfId="2820" builtinId="9" hidden="1"/>
    <cellStyle name="Followed Hyperlink" xfId="2690" builtinId="9" hidden="1"/>
    <cellStyle name="Followed Hyperlink" xfId="2562" builtinId="9" hidden="1"/>
    <cellStyle name="Followed Hyperlink" xfId="2434" builtinId="9" hidden="1"/>
    <cellStyle name="Followed Hyperlink" xfId="2309" builtinId="9" hidden="1"/>
    <cellStyle name="Followed Hyperlink" xfId="2181" builtinId="9" hidden="1"/>
    <cellStyle name="Followed Hyperlink" xfId="2049" builtinId="9" hidden="1"/>
    <cellStyle name="Followed Hyperlink" xfId="1921" builtinId="9" hidden="1"/>
    <cellStyle name="Followed Hyperlink" xfId="1793" builtinId="9" hidden="1"/>
    <cellStyle name="Followed Hyperlink" xfId="1667" builtinId="9" hidden="1"/>
    <cellStyle name="Followed Hyperlink" xfId="1539" builtinId="9" hidden="1"/>
    <cellStyle name="Followed Hyperlink" xfId="1414" builtinId="9" hidden="1"/>
    <cellStyle name="Followed Hyperlink" xfId="1286" builtinId="9" hidden="1"/>
    <cellStyle name="Followed Hyperlink" xfId="1153" builtinId="9" hidden="1"/>
    <cellStyle name="Followed Hyperlink" xfId="1025" builtinId="9" hidden="1"/>
    <cellStyle name="Followed Hyperlink" xfId="893" builtinId="9" hidden="1"/>
    <cellStyle name="Followed Hyperlink" xfId="765" builtinId="9" hidden="1"/>
    <cellStyle name="Followed Hyperlink" xfId="637" builtinId="9" hidden="1"/>
    <cellStyle name="Followed Hyperlink" xfId="268" builtinId="9" hidden="1"/>
    <cellStyle name="Followed Hyperlink" xfId="359" builtinId="9" hidden="1"/>
    <cellStyle name="Followed Hyperlink" xfId="446" builtinId="9" hidden="1"/>
    <cellStyle name="Followed Hyperlink" xfId="530" builtinId="9" hidden="1"/>
    <cellStyle name="Followed Hyperlink" xfId="596" builtinId="9" hidden="1"/>
    <cellStyle name="Followed Hyperlink" xfId="339" builtinId="9" hidden="1"/>
    <cellStyle name="Followed Hyperlink" xfId="124" builtinId="9" hidden="1"/>
    <cellStyle name="Followed Hyperlink" xfId="196" builtinId="9" hidden="1"/>
    <cellStyle name="Followed Hyperlink" xfId="68" builtinId="9" hidden="1"/>
    <cellStyle name="Followed Hyperlink" xfId="38" builtinId="9" hidden="1"/>
    <cellStyle name="Followed Hyperlink" xfId="102" builtinId="9" hidden="1"/>
    <cellStyle name="Followed Hyperlink" xfId="144" builtinId="9" hidden="1"/>
    <cellStyle name="Followed Hyperlink" xfId="262" builtinId="9" hidden="1"/>
    <cellStyle name="Followed Hyperlink" xfId="524" builtinId="9" hidden="1"/>
    <cellStyle name="Followed Hyperlink" xfId="554" builtinId="9" hidden="1"/>
    <cellStyle name="Followed Hyperlink" xfId="470" builtinId="9" hidden="1"/>
    <cellStyle name="Followed Hyperlink" xfId="384" builtinId="9" hidden="1"/>
    <cellStyle name="Followed Hyperlink" xfId="292" builtinId="9" hidden="1"/>
    <cellStyle name="Followed Hyperlink" xfId="208" builtinId="9" hidden="1"/>
    <cellStyle name="Followed Hyperlink" xfId="729" builtinId="9" hidden="1"/>
    <cellStyle name="Followed Hyperlink" xfId="857" builtinId="9" hidden="1"/>
    <cellStyle name="Followed Hyperlink" xfId="989" builtinId="9" hidden="1"/>
    <cellStyle name="Followed Hyperlink" xfId="1117" builtinId="9" hidden="1"/>
    <cellStyle name="Followed Hyperlink" xfId="1249" builtinId="9" hidden="1"/>
    <cellStyle name="Followed Hyperlink" xfId="1378" builtinId="9" hidden="1"/>
    <cellStyle name="Followed Hyperlink" xfId="1503" builtinId="9" hidden="1"/>
    <cellStyle name="Followed Hyperlink" xfId="1631" builtinId="9" hidden="1"/>
    <cellStyle name="Followed Hyperlink" xfId="1759" builtinId="9" hidden="1"/>
    <cellStyle name="Followed Hyperlink" xfId="1885" builtinId="9" hidden="1"/>
    <cellStyle name="Followed Hyperlink" xfId="2013" builtinId="9" hidden="1"/>
    <cellStyle name="Followed Hyperlink" xfId="2144" builtinId="9" hidden="1"/>
    <cellStyle name="Followed Hyperlink" xfId="2273" builtinId="9" hidden="1"/>
    <cellStyle name="Followed Hyperlink" xfId="2398" builtinId="9" hidden="1"/>
    <cellStyle name="Followed Hyperlink" xfId="2526" builtinId="9" hidden="1"/>
    <cellStyle name="Followed Hyperlink" xfId="2654" builtinId="9" hidden="1"/>
    <cellStyle name="Followed Hyperlink" xfId="2784" builtinId="9" hidden="1"/>
    <cellStyle name="Followed Hyperlink" xfId="2912" builtinId="9" hidden="1"/>
    <cellStyle name="Followed Hyperlink" xfId="3046" builtinId="9" hidden="1"/>
    <cellStyle name="Followed Hyperlink" xfId="3175" builtinId="9" hidden="1"/>
    <cellStyle name="Followed Hyperlink" xfId="3300" builtinId="9" hidden="1"/>
    <cellStyle name="Followed Hyperlink" xfId="3428" builtinId="9" hidden="1"/>
    <cellStyle name="Followed Hyperlink" xfId="3556" builtinId="9" hidden="1"/>
    <cellStyle name="Followed Hyperlink" xfId="3685" builtinId="9" hidden="1"/>
    <cellStyle name="Followed Hyperlink" xfId="3813" builtinId="9" hidden="1"/>
    <cellStyle name="Followed Hyperlink" xfId="3946" builtinId="9" hidden="1"/>
    <cellStyle name="Followed Hyperlink" xfId="4074" builtinId="9" hidden="1"/>
    <cellStyle name="Followed Hyperlink" xfId="4199" builtinId="9" hidden="1"/>
    <cellStyle name="Followed Hyperlink" xfId="4327" builtinId="9" hidden="1"/>
    <cellStyle name="Followed Hyperlink" xfId="4455" builtinId="9" hidden="1"/>
    <cellStyle name="Followed Hyperlink" xfId="4576" builtinId="9" hidden="1"/>
    <cellStyle name="Followed Hyperlink" xfId="4704" builtinId="9" hidden="1"/>
    <cellStyle name="Followed Hyperlink" xfId="4839" builtinId="9" hidden="1"/>
    <cellStyle name="Followed Hyperlink" xfId="4967" builtinId="9" hidden="1"/>
    <cellStyle name="Followed Hyperlink" xfId="5092" builtinId="9" hidden="1"/>
    <cellStyle name="Followed Hyperlink" xfId="5220" builtinId="9" hidden="1"/>
    <cellStyle name="Followed Hyperlink" xfId="5350" builtinId="9" hidden="1"/>
    <cellStyle name="Followed Hyperlink" xfId="5478" builtinId="9" hidden="1"/>
    <cellStyle name="Followed Hyperlink" xfId="5606" builtinId="9" hidden="1"/>
    <cellStyle name="Followed Hyperlink" xfId="5738" builtinId="9" hidden="1"/>
    <cellStyle name="Followed Hyperlink" xfId="5866" builtinId="9" hidden="1"/>
    <cellStyle name="Followed Hyperlink" xfId="5991" builtinId="9" hidden="1"/>
    <cellStyle name="Followed Hyperlink" xfId="6119" builtinId="9" hidden="1"/>
    <cellStyle name="Followed Hyperlink" xfId="6237" builtinId="9" hidden="1"/>
    <cellStyle name="Followed Hyperlink" xfId="6365" builtinId="9" hidden="1"/>
    <cellStyle name="Followed Hyperlink" xfId="6493" builtinId="9" hidden="1"/>
    <cellStyle name="Followed Hyperlink" xfId="6624" builtinId="9" hidden="1"/>
    <cellStyle name="Followed Hyperlink" xfId="6752" builtinId="9" hidden="1"/>
    <cellStyle name="Followed Hyperlink" xfId="6877" builtinId="9" hidden="1"/>
    <cellStyle name="Followed Hyperlink" xfId="7005" builtinId="9" hidden="1"/>
    <cellStyle name="Followed Hyperlink" xfId="7133" builtinId="9" hidden="1"/>
    <cellStyle name="Followed Hyperlink" xfId="7261" builtinId="9" hidden="1"/>
    <cellStyle name="Followed Hyperlink" xfId="7389" builtinId="9" hidden="1"/>
    <cellStyle name="Followed Hyperlink" xfId="7520" builtinId="9" hidden="1"/>
    <cellStyle name="Followed Hyperlink" xfId="7648" builtinId="9" hidden="1"/>
    <cellStyle name="Followed Hyperlink" xfId="7773" builtinId="9" hidden="1"/>
    <cellStyle name="Followed Hyperlink" xfId="7901" builtinId="9" hidden="1"/>
    <cellStyle name="Followed Hyperlink" xfId="7975" builtinId="9" hidden="1"/>
    <cellStyle name="Followed Hyperlink" xfId="7847" builtinId="9" hidden="1"/>
    <cellStyle name="Followed Hyperlink" xfId="7719" builtinId="9" hidden="1"/>
    <cellStyle name="Followed Hyperlink" xfId="7594" builtinId="9" hidden="1"/>
    <cellStyle name="Followed Hyperlink" xfId="7465" builtinId="9" hidden="1"/>
    <cellStyle name="Followed Hyperlink" xfId="7335" builtinId="9" hidden="1"/>
    <cellStyle name="Followed Hyperlink" xfId="7207" builtinId="9" hidden="1"/>
    <cellStyle name="Followed Hyperlink" xfId="7079" builtinId="9" hidden="1"/>
    <cellStyle name="Followed Hyperlink" xfId="6951" builtinId="9" hidden="1"/>
    <cellStyle name="Followed Hyperlink" xfId="6823" builtinId="9" hidden="1"/>
    <cellStyle name="Followed Hyperlink" xfId="6698" builtinId="9" hidden="1"/>
    <cellStyle name="Followed Hyperlink" xfId="6569" builtinId="9" hidden="1"/>
    <cellStyle name="Followed Hyperlink" xfId="6439" builtinId="9" hidden="1"/>
    <cellStyle name="Followed Hyperlink" xfId="6311" builtinId="9" hidden="1"/>
    <cellStyle name="Followed Hyperlink" xfId="6193" builtinId="9" hidden="1"/>
    <cellStyle name="Followed Hyperlink" xfId="6065" builtinId="9" hidden="1"/>
    <cellStyle name="Followed Hyperlink" xfId="5940" builtinId="9" hidden="1"/>
    <cellStyle name="Followed Hyperlink" xfId="5812" builtinId="9" hidden="1"/>
    <cellStyle name="Followed Hyperlink" xfId="5683" builtinId="9" hidden="1"/>
    <cellStyle name="Followed Hyperlink" xfId="5552" builtinId="9" hidden="1"/>
    <cellStyle name="Followed Hyperlink" xfId="5424" builtinId="9" hidden="1"/>
    <cellStyle name="Followed Hyperlink" xfId="5294" builtinId="9" hidden="1"/>
    <cellStyle name="Followed Hyperlink" xfId="5166" builtinId="9" hidden="1"/>
    <cellStyle name="Followed Hyperlink" xfId="5041" builtinId="9" hidden="1"/>
    <cellStyle name="Followed Hyperlink" xfId="4913" builtinId="9" hidden="1"/>
    <cellStyle name="Followed Hyperlink" xfId="4784" builtinId="9" hidden="1"/>
    <cellStyle name="Followed Hyperlink" xfId="4650" builtinId="9" hidden="1"/>
    <cellStyle name="Followed Hyperlink" xfId="4520" builtinId="9" hidden="1"/>
    <cellStyle name="Followed Hyperlink" xfId="4401" builtinId="9" hidden="1"/>
    <cellStyle name="Followed Hyperlink" xfId="4273" builtinId="9" hidden="1"/>
    <cellStyle name="Followed Hyperlink" xfId="2680" builtinId="9" hidden="1"/>
    <cellStyle name="Followed Hyperlink" xfId="2770" builtinId="9" hidden="1"/>
    <cellStyle name="Followed Hyperlink" xfId="2850" builtinId="9" hidden="1"/>
    <cellStyle name="Followed Hyperlink" xfId="2938" builtinId="9" hidden="1"/>
    <cellStyle name="Followed Hyperlink" xfId="3032" builtinId="9" hidden="1"/>
    <cellStyle name="Followed Hyperlink" xfId="3113" builtinId="9" hidden="1"/>
    <cellStyle name="Followed Hyperlink" xfId="3201" builtinId="9" hidden="1"/>
    <cellStyle name="Followed Hyperlink" xfId="3286" builtinId="9" hidden="1"/>
    <cellStyle name="Followed Hyperlink" xfId="3366" builtinId="9" hidden="1"/>
    <cellStyle name="Followed Hyperlink" xfId="3454" builtinId="9" hidden="1"/>
    <cellStyle name="Followed Hyperlink" xfId="3542" builtinId="9" hidden="1"/>
    <cellStyle name="Followed Hyperlink" xfId="3623" builtinId="9" hidden="1"/>
    <cellStyle name="Followed Hyperlink" xfId="3711" builtinId="9" hidden="1"/>
    <cellStyle name="Followed Hyperlink" xfId="3799" builtinId="9" hidden="1"/>
    <cellStyle name="Followed Hyperlink" xfId="3883" builtinId="9" hidden="1"/>
    <cellStyle name="Followed Hyperlink" xfId="3972" builtinId="9" hidden="1"/>
    <cellStyle name="Followed Hyperlink" xfId="4060" builtinId="9" hidden="1"/>
    <cellStyle name="Followed Hyperlink" xfId="4140" builtinId="9" hidden="1"/>
    <cellStyle name="Followed Hyperlink" xfId="4225" builtinId="9" hidden="1"/>
    <cellStyle name="Followed Hyperlink" xfId="4020" builtinId="9" hidden="1"/>
    <cellStyle name="Followed Hyperlink" xfId="3759" builtinId="9" hidden="1"/>
    <cellStyle name="Followed Hyperlink" xfId="3502" builtinId="9" hidden="1"/>
    <cellStyle name="Followed Hyperlink" xfId="3249" builtinId="9" hidden="1"/>
    <cellStyle name="Followed Hyperlink" xfId="2992" builtinId="9" hidden="1"/>
    <cellStyle name="Followed Hyperlink" xfId="2728" builtinId="9" hidden="1"/>
    <cellStyle name="Followed Hyperlink" xfId="2203" builtinId="9" hidden="1"/>
    <cellStyle name="Followed Hyperlink" xfId="2275" builtinId="9" hidden="1"/>
    <cellStyle name="Followed Hyperlink" xfId="2355" builtinId="9" hidden="1"/>
    <cellStyle name="Followed Hyperlink" xfId="2424" builtinId="9" hidden="1"/>
    <cellStyle name="Followed Hyperlink" xfId="2496" builtinId="9" hidden="1"/>
    <cellStyle name="Followed Hyperlink" xfId="2568" builtinId="9" hidden="1"/>
    <cellStyle name="Followed Hyperlink" xfId="2472" builtinId="9" hidden="1"/>
    <cellStyle name="Followed Hyperlink" xfId="2007" builtinId="9" hidden="1"/>
    <cellStyle name="Followed Hyperlink" xfId="2071" builtinId="9" hidden="1"/>
    <cellStyle name="Followed Hyperlink" xfId="2146" builtinId="9" hidden="1"/>
    <cellStyle name="Followed Hyperlink" xfId="1927" builtinId="9" hidden="1"/>
    <cellStyle name="Followed Hyperlink" xfId="1863" builtinId="9" hidden="1"/>
    <cellStyle name="Followed Hyperlink" xfId="1823" builtinId="9" hidden="1"/>
    <cellStyle name="Followed Hyperlink" xfId="1855" builtinId="9" hidden="1"/>
    <cellStyle name="Followed Hyperlink" xfId="1919" builtinId="9" hidden="1"/>
    <cellStyle name="Followed Hyperlink" xfId="2138" builtinId="9" hidden="1"/>
    <cellStyle name="Followed Hyperlink" xfId="2063" builtinId="9" hidden="1"/>
    <cellStyle name="Followed Hyperlink" xfId="1999" builtinId="9" hidden="1"/>
    <cellStyle name="Followed Hyperlink" xfId="2536" builtinId="9" hidden="1"/>
    <cellStyle name="Followed Hyperlink" xfId="2560" builtinId="9" hidden="1"/>
    <cellStyle name="Followed Hyperlink" xfId="2488" builtinId="9" hidden="1"/>
    <cellStyle name="Followed Hyperlink" xfId="2416" builtinId="9" hidden="1"/>
    <cellStyle name="Followed Hyperlink" xfId="2339" builtinId="9" hidden="1"/>
    <cellStyle name="Followed Hyperlink" xfId="2267" builtinId="9" hidden="1"/>
    <cellStyle name="Followed Hyperlink" xfId="2195" builtinId="9" hidden="1"/>
    <cellStyle name="Followed Hyperlink" xfId="2762" builtinId="9" hidden="1"/>
    <cellStyle name="Followed Hyperlink" xfId="3024" builtinId="9" hidden="1"/>
    <cellStyle name="Followed Hyperlink" xfId="3278" builtinId="9" hidden="1"/>
    <cellStyle name="Followed Hyperlink" xfId="3534" builtinId="9" hidden="1"/>
    <cellStyle name="Followed Hyperlink" xfId="3791" builtinId="9" hidden="1"/>
    <cellStyle name="Followed Hyperlink" xfId="4052" builtinId="9" hidden="1"/>
    <cellStyle name="Followed Hyperlink" xfId="4217" builtinId="9" hidden="1"/>
    <cellStyle name="Followed Hyperlink" xfId="4132" builtinId="9" hidden="1"/>
    <cellStyle name="Followed Hyperlink" xfId="4044" builtinId="9" hidden="1"/>
    <cellStyle name="Followed Hyperlink" xfId="3964" builtinId="9" hidden="1"/>
    <cellStyle name="Followed Hyperlink" xfId="3875" builtinId="9" hidden="1"/>
    <cellStyle name="Followed Hyperlink" xfId="3783" builtinId="9" hidden="1"/>
    <cellStyle name="Followed Hyperlink" xfId="3703" builtinId="9" hidden="1"/>
    <cellStyle name="Followed Hyperlink" xfId="3615" builtinId="9" hidden="1"/>
    <cellStyle name="Followed Hyperlink" xfId="3526" builtinId="9" hidden="1"/>
    <cellStyle name="Followed Hyperlink" xfId="3446" builtinId="9" hidden="1"/>
    <cellStyle name="Followed Hyperlink" xfId="3358" builtinId="9" hidden="1"/>
    <cellStyle name="Followed Hyperlink" xfId="3273" builtinId="9" hidden="1"/>
    <cellStyle name="Followed Hyperlink" xfId="3193" builtinId="9" hidden="1"/>
    <cellStyle name="Followed Hyperlink" xfId="3105" builtinId="9" hidden="1"/>
    <cellStyle name="Followed Hyperlink" xfId="3016" builtinId="9" hidden="1"/>
    <cellStyle name="Followed Hyperlink" xfId="2930" builtinId="9" hidden="1"/>
    <cellStyle name="Followed Hyperlink" xfId="2842" builtinId="9" hidden="1"/>
    <cellStyle name="Followed Hyperlink" xfId="2754" builtinId="9" hidden="1"/>
    <cellStyle name="Followed Hyperlink" xfId="2672" builtinId="9" hidden="1"/>
    <cellStyle name="Followed Hyperlink" xfId="4289" builtinId="9" hidden="1"/>
    <cellStyle name="Followed Hyperlink" xfId="4417" builtinId="9" hidden="1"/>
    <cellStyle name="Followed Hyperlink" xfId="4538" builtinId="9" hidden="1"/>
    <cellStyle name="Followed Hyperlink" xfId="4666" builtinId="9" hidden="1"/>
    <cellStyle name="Followed Hyperlink" xfId="4800" builtinId="9" hidden="1"/>
    <cellStyle name="Followed Hyperlink" xfId="4929" builtinId="9" hidden="1"/>
    <cellStyle name="Followed Hyperlink" xfId="5054" builtinId="9" hidden="1"/>
    <cellStyle name="Followed Hyperlink" xfId="5182" builtinId="9" hidden="1"/>
    <cellStyle name="Followed Hyperlink" xfId="5310" builtinId="9" hidden="1"/>
    <cellStyle name="Followed Hyperlink" xfId="5440" builtinId="9" hidden="1"/>
    <cellStyle name="Followed Hyperlink" xfId="5568" builtinId="9" hidden="1"/>
    <cellStyle name="Followed Hyperlink" xfId="5699" builtinId="9" hidden="1"/>
    <cellStyle name="Followed Hyperlink" xfId="5828" builtinId="9" hidden="1"/>
    <cellStyle name="Followed Hyperlink" xfId="5953" builtinId="9" hidden="1"/>
    <cellStyle name="Followed Hyperlink" xfId="6081" builtinId="9" hidden="1"/>
    <cellStyle name="Followed Hyperlink" xfId="6209" builtinId="9" hidden="1"/>
    <cellStyle name="Followed Hyperlink" xfId="6327" builtinId="9" hidden="1"/>
    <cellStyle name="Followed Hyperlink" xfId="6455" builtinId="9" hidden="1"/>
    <cellStyle name="Followed Hyperlink" xfId="6585" builtinId="9" hidden="1"/>
    <cellStyle name="Followed Hyperlink" xfId="6714" builtinId="9" hidden="1"/>
    <cellStyle name="Followed Hyperlink" xfId="6839" builtinId="9" hidden="1"/>
    <cellStyle name="Followed Hyperlink" xfId="6967" builtinId="9" hidden="1"/>
    <cellStyle name="Followed Hyperlink" xfId="7095" builtinId="9" hidden="1"/>
    <cellStyle name="Followed Hyperlink" xfId="7223" builtinId="9" hidden="1"/>
    <cellStyle name="Followed Hyperlink" xfId="7351" builtinId="9" hidden="1"/>
    <cellStyle name="Followed Hyperlink" xfId="7481" builtinId="9" hidden="1"/>
    <cellStyle name="Followed Hyperlink" xfId="7610" builtinId="9" hidden="1"/>
    <cellStyle name="Followed Hyperlink" xfId="7735" builtinId="9" hidden="1"/>
    <cellStyle name="Followed Hyperlink" xfId="7863" builtinId="9" hidden="1"/>
    <cellStyle name="Followed Hyperlink" xfId="7991" builtinId="9" hidden="1"/>
    <cellStyle name="Followed Hyperlink" xfId="7885" builtinId="9" hidden="1"/>
    <cellStyle name="Followed Hyperlink" xfId="7757" builtinId="9" hidden="1"/>
    <cellStyle name="Followed Hyperlink" xfId="7632" builtinId="9" hidden="1"/>
    <cellStyle name="Followed Hyperlink" xfId="7504" builtinId="9" hidden="1"/>
    <cellStyle name="Followed Hyperlink" xfId="7373" builtinId="9" hidden="1"/>
    <cellStyle name="Followed Hyperlink" xfId="7245" builtinId="9" hidden="1"/>
    <cellStyle name="Followed Hyperlink" xfId="7117" builtinId="9" hidden="1"/>
    <cellStyle name="Followed Hyperlink" xfId="6989" builtinId="9" hidden="1"/>
    <cellStyle name="Followed Hyperlink" xfId="6861" builtinId="9" hidden="1"/>
    <cellStyle name="Followed Hyperlink" xfId="6736" builtinId="9" hidden="1"/>
    <cellStyle name="Followed Hyperlink" xfId="6608" builtinId="9" hidden="1"/>
    <cellStyle name="Followed Hyperlink" xfId="6477" builtinId="9" hidden="1"/>
    <cellStyle name="Followed Hyperlink" xfId="6349" builtinId="9" hidden="1"/>
    <cellStyle name="Followed Hyperlink" xfId="6231" builtinId="9" hidden="1"/>
    <cellStyle name="Followed Hyperlink" xfId="6103" builtinId="9" hidden="1"/>
    <cellStyle name="Followed Hyperlink" xfId="5975" builtinId="9" hidden="1"/>
    <cellStyle name="Followed Hyperlink" xfId="5850" builtinId="9" hidden="1"/>
    <cellStyle name="Followed Hyperlink" xfId="5722" builtinId="9" hidden="1"/>
    <cellStyle name="Followed Hyperlink" xfId="5590" builtinId="9" hidden="1"/>
    <cellStyle name="Followed Hyperlink" xfId="5462" builtinId="9" hidden="1"/>
    <cellStyle name="Followed Hyperlink" xfId="5332" builtinId="9" hidden="1"/>
    <cellStyle name="Followed Hyperlink" xfId="5204" builtinId="9" hidden="1"/>
    <cellStyle name="Followed Hyperlink" xfId="5076" builtinId="9" hidden="1"/>
    <cellStyle name="Followed Hyperlink" xfId="4951" builtinId="9" hidden="1"/>
    <cellStyle name="Followed Hyperlink" xfId="4822" builtinId="9" hidden="1"/>
    <cellStyle name="Followed Hyperlink" xfId="4688" builtinId="9" hidden="1"/>
    <cellStyle name="Followed Hyperlink" xfId="4560" builtinId="9" hidden="1"/>
    <cellStyle name="Followed Hyperlink" xfId="4439" builtinId="9" hidden="1"/>
    <cellStyle name="Followed Hyperlink" xfId="4311" builtinId="9" hidden="1"/>
    <cellStyle name="Followed Hyperlink" xfId="4183" builtinId="9" hidden="1"/>
    <cellStyle name="Followed Hyperlink" xfId="4058" builtinId="9" hidden="1"/>
    <cellStyle name="Followed Hyperlink" xfId="3929" builtinId="9" hidden="1"/>
    <cellStyle name="Followed Hyperlink" xfId="3797" builtinId="9" hidden="1"/>
    <cellStyle name="Followed Hyperlink" xfId="3669" builtinId="9" hidden="1"/>
    <cellStyle name="Followed Hyperlink" xfId="3540" builtinId="9" hidden="1"/>
    <cellStyle name="Followed Hyperlink" xfId="3412" builtinId="9" hidden="1"/>
    <cellStyle name="Followed Hyperlink" xfId="3284" builtinId="9" hidden="1"/>
    <cellStyle name="Followed Hyperlink" xfId="3159" builtinId="9" hidden="1"/>
    <cellStyle name="Followed Hyperlink" xfId="3030" builtinId="9" hidden="1"/>
    <cellStyle name="Followed Hyperlink" xfId="2896" builtinId="9" hidden="1"/>
    <cellStyle name="Followed Hyperlink" xfId="2768" builtinId="9" hidden="1"/>
    <cellStyle name="Followed Hyperlink" xfId="2638" builtinId="9" hidden="1"/>
    <cellStyle name="Followed Hyperlink" xfId="2510" builtinId="9" hidden="1"/>
    <cellStyle name="Followed Hyperlink" xfId="2085" builtinId="9" hidden="1"/>
    <cellStyle name="Followed Hyperlink" xfId="2257" builtinId="9" hidden="1"/>
    <cellStyle name="Followed Hyperlink" xfId="2128" builtinId="9" hidden="1"/>
    <cellStyle name="Followed Hyperlink" xfId="1997" builtinId="9" hidden="1"/>
    <cellStyle name="Followed Hyperlink" xfId="1869" builtinId="9" hidden="1"/>
    <cellStyle name="Followed Hyperlink" xfId="1743" builtinId="9" hidden="1"/>
    <cellStyle name="Followed Hyperlink" xfId="1615" builtinId="9" hidden="1"/>
    <cellStyle name="Followed Hyperlink" xfId="1490" builtinId="9" hidden="1"/>
    <cellStyle name="Followed Hyperlink" xfId="1362" builtinId="9" hidden="1"/>
    <cellStyle name="Followed Hyperlink" xfId="1233" builtinId="9" hidden="1"/>
    <cellStyle name="Followed Hyperlink" xfId="1101" builtinId="9" hidden="1"/>
    <cellStyle name="Followed Hyperlink" xfId="973" builtinId="9" hidden="1"/>
    <cellStyle name="Followed Hyperlink" xfId="841" builtinId="9" hidden="1"/>
    <cellStyle name="Followed Hyperlink" xfId="713" builtinId="9" hidden="1"/>
    <cellStyle name="Followed Hyperlink" xfId="218" builtinId="9" hidden="1"/>
    <cellStyle name="Followed Hyperlink" xfId="309" builtinId="9" hidden="1"/>
    <cellStyle name="Followed Hyperlink" xfId="394" builtinId="9" hidden="1"/>
    <cellStyle name="Followed Hyperlink" xfId="480" builtinId="9" hidden="1"/>
    <cellStyle name="Followed Hyperlink" xfId="566" builtinId="9" hidden="1"/>
    <cellStyle name="Followed Hyperlink" xfId="492" builtinId="9" hidden="1"/>
    <cellStyle name="Followed Hyperlink" xfId="230" builtinId="9" hidden="1"/>
    <cellStyle name="Followed Hyperlink" xfId="154" builtinId="9" hidden="1"/>
    <cellStyle name="Followed Hyperlink" xfId="48" builtinId="9" hidden="1"/>
    <cellStyle name="Followed Hyperlink" xfId="12" builtinId="9" hidden="1"/>
    <cellStyle name="Followed Hyperlink" xfId="82" builtinId="9" hidden="1"/>
    <cellStyle name="Followed Hyperlink" xfId="188" builtinId="9" hidden="1"/>
    <cellStyle name="Followed Hyperlink" xfId="114" builtinId="9" hidden="1"/>
    <cellStyle name="Followed Hyperlink" xfId="371" builtinId="9" hidden="1"/>
    <cellStyle name="Followed Hyperlink" xfId="603" builtinId="9" hidden="1"/>
    <cellStyle name="Followed Hyperlink" xfId="520" builtinId="9" hidden="1"/>
    <cellStyle name="Followed Hyperlink" xfId="434" builtinId="9" hidden="1"/>
    <cellStyle name="Followed Hyperlink" xfId="349" builtinId="9" hidden="1"/>
    <cellStyle name="Followed Hyperlink" xfId="258" builtinId="9" hidden="1"/>
    <cellStyle name="Followed Hyperlink" xfId="653" builtinId="9" hidden="1"/>
    <cellStyle name="Followed Hyperlink" xfId="781" builtinId="9" hidden="1"/>
    <cellStyle name="Followed Hyperlink" xfId="912" builtinId="9" hidden="1"/>
    <cellStyle name="Followed Hyperlink" xfId="1041" builtinId="9" hidden="1"/>
    <cellStyle name="Followed Hyperlink" xfId="1169" builtinId="9" hidden="1"/>
    <cellStyle name="Followed Hyperlink" xfId="1302" builtinId="9" hidden="1"/>
    <cellStyle name="Followed Hyperlink" xfId="1430" builtinId="9" hidden="1"/>
    <cellStyle name="Followed Hyperlink" xfId="1555" builtinId="9" hidden="1"/>
    <cellStyle name="Followed Hyperlink" xfId="1683" builtinId="9" hidden="1"/>
    <cellStyle name="Followed Hyperlink" xfId="1809" builtinId="9" hidden="1"/>
    <cellStyle name="Followed Hyperlink" xfId="1937" builtinId="9" hidden="1"/>
    <cellStyle name="Followed Hyperlink" xfId="2065" builtinId="9" hidden="1"/>
    <cellStyle name="Followed Hyperlink" xfId="2197" builtinId="9" hidden="1"/>
    <cellStyle name="Followed Hyperlink" xfId="2325" builtinId="9" hidden="1"/>
    <cellStyle name="Followed Hyperlink" xfId="2450" builtinId="9" hidden="1"/>
    <cellStyle name="Followed Hyperlink" xfId="2578" builtinId="9" hidden="1"/>
    <cellStyle name="Followed Hyperlink" xfId="2706" builtinId="9" hidden="1"/>
    <cellStyle name="Followed Hyperlink" xfId="2836" builtinId="9" hidden="1"/>
    <cellStyle name="Followed Hyperlink" xfId="2964" builtinId="9" hidden="1"/>
    <cellStyle name="Followed Hyperlink" xfId="3099" builtinId="9" hidden="1"/>
    <cellStyle name="Followed Hyperlink" xfId="3227" builtinId="9" hidden="1"/>
    <cellStyle name="Followed Hyperlink" xfId="3352" builtinId="9" hidden="1"/>
    <cellStyle name="Followed Hyperlink" xfId="3480" builtinId="9" hidden="1"/>
    <cellStyle name="Followed Hyperlink" xfId="3609" builtinId="9" hidden="1"/>
    <cellStyle name="Followed Hyperlink" xfId="3737" builtinId="9" hidden="1"/>
    <cellStyle name="Followed Hyperlink" xfId="3865" builtinId="9" hidden="1"/>
    <cellStyle name="Followed Hyperlink" xfId="3998" builtinId="9" hidden="1"/>
    <cellStyle name="Followed Hyperlink" xfId="4126" builtinId="9" hidden="1"/>
    <cellStyle name="Followed Hyperlink" xfId="4251" builtinId="9" hidden="1"/>
    <cellStyle name="Followed Hyperlink" xfId="4379" builtinId="9" hidden="1"/>
    <cellStyle name="Followed Hyperlink" xfId="4498" builtinId="9" hidden="1"/>
    <cellStyle name="Followed Hyperlink" xfId="4628" builtinId="9" hidden="1"/>
    <cellStyle name="Followed Hyperlink" xfId="4762" builtinId="9" hidden="1"/>
    <cellStyle name="Followed Hyperlink" xfId="4891" builtinId="9" hidden="1"/>
    <cellStyle name="Followed Hyperlink" xfId="5019" builtinId="9" hidden="1"/>
    <cellStyle name="Followed Hyperlink" xfId="5144" builtinId="9" hidden="1"/>
    <cellStyle name="Followed Hyperlink" xfId="5272" builtinId="9" hidden="1"/>
    <cellStyle name="Followed Hyperlink" xfId="5402" builtinId="9" hidden="1"/>
    <cellStyle name="Followed Hyperlink" xfId="5530" builtinId="9" hidden="1"/>
    <cellStyle name="Followed Hyperlink" xfId="5661" builtinId="9" hidden="1"/>
    <cellStyle name="Followed Hyperlink" xfId="5790" builtinId="9" hidden="1"/>
    <cellStyle name="Followed Hyperlink" xfId="5918" builtinId="9" hidden="1"/>
    <cellStyle name="Followed Hyperlink" xfId="6043" builtinId="9" hidden="1"/>
    <cellStyle name="Followed Hyperlink" xfId="6171" builtinId="9" hidden="1"/>
    <cellStyle name="Followed Hyperlink" xfId="6289" builtinId="9" hidden="1"/>
    <cellStyle name="Followed Hyperlink" xfId="6417" builtinId="9" hidden="1"/>
    <cellStyle name="Followed Hyperlink" xfId="6547" builtinId="9" hidden="1"/>
    <cellStyle name="Followed Hyperlink" xfId="6676" builtinId="9" hidden="1"/>
    <cellStyle name="Followed Hyperlink" xfId="6804" builtinId="9" hidden="1"/>
    <cellStyle name="Followed Hyperlink" xfId="6929" builtinId="9" hidden="1"/>
    <cellStyle name="Followed Hyperlink" xfId="7057" builtinId="9" hidden="1"/>
    <cellStyle name="Followed Hyperlink" xfId="7185" builtinId="9" hidden="1"/>
    <cellStyle name="Followed Hyperlink" xfId="7313" builtinId="9" hidden="1"/>
    <cellStyle name="Followed Hyperlink" xfId="7443" builtinId="9" hidden="1"/>
    <cellStyle name="Followed Hyperlink" xfId="7572" builtinId="9" hidden="1"/>
    <cellStyle name="Followed Hyperlink" xfId="7700" builtinId="9" hidden="1"/>
    <cellStyle name="Followed Hyperlink" xfId="7825" builtinId="9" hidden="1"/>
    <cellStyle name="Followed Hyperlink" xfId="7953" builtinId="9" hidden="1"/>
    <cellStyle name="Followed Hyperlink" xfId="7923" builtinId="9" hidden="1"/>
    <cellStyle name="Followed Hyperlink" xfId="7795" builtinId="9" hidden="1"/>
    <cellStyle name="Followed Hyperlink" xfId="7670" builtinId="9" hidden="1"/>
    <cellStyle name="Followed Hyperlink" xfId="7542" builtinId="9" hidden="1"/>
    <cellStyle name="Followed Hyperlink" xfId="7413" builtinId="9" hidden="1"/>
    <cellStyle name="Followed Hyperlink" xfId="7283" builtinId="9" hidden="1"/>
    <cellStyle name="Followed Hyperlink" xfId="7155" builtinId="9" hidden="1"/>
    <cellStyle name="Followed Hyperlink" xfId="7027" builtinId="9" hidden="1"/>
    <cellStyle name="Followed Hyperlink" xfId="6899" builtinId="9" hidden="1"/>
    <cellStyle name="Followed Hyperlink" xfId="6774" builtinId="9" hidden="1"/>
    <cellStyle name="Followed Hyperlink" xfId="6646" builtinId="9" hidden="1"/>
    <cellStyle name="Followed Hyperlink" xfId="6515" builtinId="9" hidden="1"/>
    <cellStyle name="Followed Hyperlink" xfId="6387" builtinId="9" hidden="1"/>
    <cellStyle name="Followed Hyperlink" xfId="6259" builtinId="9" hidden="1"/>
    <cellStyle name="Followed Hyperlink" xfId="6141" builtinId="9" hidden="1"/>
    <cellStyle name="Followed Hyperlink" xfId="6013" builtinId="9" hidden="1"/>
    <cellStyle name="Followed Hyperlink" xfId="5888" builtinId="9" hidden="1"/>
    <cellStyle name="Followed Hyperlink" xfId="5760" builtinId="9" hidden="1"/>
    <cellStyle name="Followed Hyperlink" xfId="5628" builtinId="9" hidden="1"/>
    <cellStyle name="Followed Hyperlink" xfId="5500" builtinId="9" hidden="1"/>
    <cellStyle name="Followed Hyperlink" xfId="5372" builtinId="9" hidden="1"/>
    <cellStyle name="Followed Hyperlink" xfId="5242" builtinId="9" hidden="1"/>
    <cellStyle name="Followed Hyperlink" xfId="5114" builtinId="9" hidden="1"/>
    <cellStyle name="Followed Hyperlink" xfId="4989" builtinId="9" hidden="1"/>
    <cellStyle name="Followed Hyperlink" xfId="4861" builtinId="9" hidden="1"/>
    <cellStyle name="Followed Hyperlink" xfId="4726" builtinId="9" hidden="1"/>
    <cellStyle name="Followed Hyperlink" xfId="4598" builtinId="9" hidden="1"/>
    <cellStyle name="Followed Hyperlink" xfId="4468" builtinId="9" hidden="1"/>
    <cellStyle name="Followed Hyperlink" xfId="4349" builtinId="9" hidden="1"/>
    <cellStyle name="Followed Hyperlink" xfId="4221" builtinId="9" hidden="1"/>
    <cellStyle name="Followed Hyperlink" xfId="4096" builtinId="9" hidden="1"/>
    <cellStyle name="Followed Hyperlink" xfId="3968" builtinId="9" hidden="1"/>
    <cellStyle name="Followed Hyperlink" xfId="3835" builtinId="9" hidden="1"/>
    <cellStyle name="Followed Hyperlink" xfId="3707" builtinId="9" hidden="1"/>
    <cellStyle name="Followed Hyperlink" xfId="3579" builtinId="9" hidden="1"/>
    <cellStyle name="Followed Hyperlink" xfId="3450" builtinId="9" hidden="1"/>
    <cellStyle name="Followed Hyperlink" xfId="3322" builtinId="9" hidden="1"/>
    <cellStyle name="Followed Hyperlink" xfId="3197" builtinId="9" hidden="1"/>
    <cellStyle name="Followed Hyperlink" xfId="3069" builtinId="9" hidden="1"/>
    <cellStyle name="Followed Hyperlink" xfId="2934" builtinId="9" hidden="1"/>
    <cellStyle name="Followed Hyperlink" xfId="2806" builtinId="9" hidden="1"/>
    <cellStyle name="Followed Hyperlink" xfId="2676" builtinId="9" hidden="1"/>
    <cellStyle name="Followed Hyperlink" xfId="2548" builtinId="9" hidden="1"/>
    <cellStyle name="Followed Hyperlink" xfId="2420" builtinId="9" hidden="1"/>
    <cellStyle name="Followed Hyperlink" xfId="2295" builtinId="9" hidden="1"/>
    <cellStyle name="Followed Hyperlink" xfId="2167" builtinId="9" hidden="1"/>
    <cellStyle name="Followed Hyperlink" xfId="2035" builtinId="9" hidden="1"/>
    <cellStyle name="Followed Hyperlink" xfId="1907" builtinId="9" hidden="1"/>
    <cellStyle name="Followed Hyperlink" xfId="1039" builtinId="9" hidden="1"/>
    <cellStyle name="Followed Hyperlink" xfId="1123" builtinId="9" hidden="1"/>
    <cellStyle name="Followed Hyperlink" xfId="1211" builtinId="9" hidden="1"/>
    <cellStyle name="Followed Hyperlink" xfId="1300" builtinId="9" hidden="1"/>
    <cellStyle name="Followed Hyperlink" xfId="1384" builtinId="9" hidden="1"/>
    <cellStyle name="Followed Hyperlink" xfId="1468" builtinId="9" hidden="1"/>
    <cellStyle name="Followed Hyperlink" xfId="1553" builtinId="9" hidden="1"/>
    <cellStyle name="Followed Hyperlink" xfId="1637" builtinId="9" hidden="1"/>
    <cellStyle name="Followed Hyperlink" xfId="1721" builtinId="9" hidden="1"/>
    <cellStyle name="Followed Hyperlink" xfId="1807" builtinId="9" hidden="1"/>
    <cellStyle name="Followed Hyperlink" xfId="1597" builtinId="9" hidden="1"/>
    <cellStyle name="Followed Hyperlink" xfId="1344" builtinId="9" hidden="1"/>
    <cellStyle name="Followed Hyperlink" xfId="1083" builtinId="9" hidden="1"/>
    <cellStyle name="Followed Hyperlink" xfId="831" builtinId="9" hidden="1"/>
    <cellStyle name="Followed Hyperlink" xfId="910" builtinId="9" hidden="1"/>
    <cellStyle name="Followed Hyperlink" xfId="983" builtinId="9" hidden="1"/>
    <cellStyle name="Followed Hyperlink" xfId="699" builtinId="9" hidden="1"/>
    <cellStyle name="Followed Hyperlink" xfId="767" builtinId="9" hidden="1"/>
    <cellStyle name="Followed Hyperlink" xfId="627" builtinId="9" hidden="1"/>
    <cellStyle name="Followed Hyperlink" xfId="631" builtinId="9" hidden="1"/>
    <cellStyle name="Followed Hyperlink" xfId="771" builtinId="9" hidden="1"/>
    <cellStyle name="Followed Hyperlink" xfId="703" builtinId="9" hidden="1"/>
    <cellStyle name="Followed Hyperlink" xfId="987" builtinId="9" hidden="1"/>
    <cellStyle name="Followed Hyperlink" xfId="914" builtinId="9" hidden="1"/>
    <cellStyle name="Followed Hyperlink" xfId="835" builtinId="9" hidden="1"/>
    <cellStyle name="Followed Hyperlink" xfId="1067" builtinId="9" hidden="1"/>
    <cellStyle name="Followed Hyperlink" xfId="1328" builtinId="9" hidden="1"/>
    <cellStyle name="Followed Hyperlink" xfId="1581" builtinId="9" hidden="1"/>
    <cellStyle name="Followed Hyperlink" xfId="1811" builtinId="9" hidden="1"/>
    <cellStyle name="Followed Hyperlink" xfId="1729" builtinId="9" hidden="1"/>
    <cellStyle name="Followed Hyperlink" xfId="1641" builtinId="9" hidden="1"/>
    <cellStyle name="Followed Hyperlink" xfId="1557" builtinId="9" hidden="1"/>
    <cellStyle name="Followed Hyperlink" xfId="1476" builtinId="9" hidden="1"/>
    <cellStyle name="Followed Hyperlink" xfId="1388" builtinId="9" hidden="1"/>
    <cellStyle name="Followed Hyperlink" xfId="1304" builtinId="9" hidden="1"/>
    <cellStyle name="Followed Hyperlink" xfId="1219" builtinId="9" hidden="1"/>
    <cellStyle name="Followed Hyperlink" xfId="1127" builtinId="9" hidden="1"/>
    <cellStyle name="Followed Hyperlink" xfId="1043" builtinId="9" hidden="1"/>
    <cellStyle name="Followed Hyperlink" xfId="1899" builtinId="9" hidden="1"/>
    <cellStyle name="Followed Hyperlink" xfId="2027" builtinId="9" hidden="1"/>
    <cellStyle name="Followed Hyperlink" xfId="2158" builtinId="9" hidden="1"/>
    <cellStyle name="Followed Hyperlink" xfId="2287" builtinId="9" hidden="1"/>
    <cellStyle name="Followed Hyperlink" xfId="2412" builtinId="9" hidden="1"/>
    <cellStyle name="Followed Hyperlink" xfId="2540" builtinId="9" hidden="1"/>
    <cellStyle name="Followed Hyperlink" xfId="2668" builtinId="9" hidden="1"/>
    <cellStyle name="Followed Hyperlink" xfId="2798" builtinId="9" hidden="1"/>
    <cellStyle name="Followed Hyperlink" xfId="2926" builtinId="9" hidden="1"/>
    <cellStyle name="Followed Hyperlink" xfId="3061" builtinId="9" hidden="1"/>
    <cellStyle name="Followed Hyperlink" xfId="3189" builtinId="9" hidden="1"/>
    <cellStyle name="Followed Hyperlink" xfId="3314" builtinId="9" hidden="1"/>
    <cellStyle name="Followed Hyperlink" xfId="3442" builtinId="9" hidden="1"/>
    <cellStyle name="Followed Hyperlink" xfId="3571" builtinId="9" hidden="1"/>
    <cellStyle name="Followed Hyperlink" xfId="3699" builtinId="9" hidden="1"/>
    <cellStyle name="Followed Hyperlink" xfId="3827" builtinId="9" hidden="1"/>
    <cellStyle name="Followed Hyperlink" xfId="3960" builtinId="9" hidden="1"/>
    <cellStyle name="Followed Hyperlink" xfId="4088" builtinId="9" hidden="1"/>
    <cellStyle name="Followed Hyperlink" xfId="4213" builtinId="9" hidden="1"/>
    <cellStyle name="Followed Hyperlink" xfId="4341" builtinId="9" hidden="1"/>
    <cellStyle name="Followed Hyperlink" xfId="4460" builtinId="9" hidden="1"/>
    <cellStyle name="Followed Hyperlink" xfId="4590" builtinId="9" hidden="1"/>
    <cellStyle name="Followed Hyperlink" xfId="4718" builtinId="9" hidden="1"/>
    <cellStyle name="Followed Hyperlink" xfId="4853" builtinId="9" hidden="1"/>
    <cellStyle name="Followed Hyperlink" xfId="4981" builtinId="9" hidden="1"/>
    <cellStyle name="Followed Hyperlink" xfId="5106" builtinId="9" hidden="1"/>
    <cellStyle name="Followed Hyperlink" xfId="5234" builtinId="9" hidden="1"/>
    <cellStyle name="Followed Hyperlink" xfId="5364" builtinId="9" hidden="1"/>
    <cellStyle name="Followed Hyperlink" xfId="5492" builtinId="9" hidden="1"/>
    <cellStyle name="Followed Hyperlink" xfId="5620" builtinId="9" hidden="1"/>
    <cellStyle name="Followed Hyperlink" xfId="5752" builtinId="9" hidden="1"/>
    <cellStyle name="Followed Hyperlink" xfId="5880" builtinId="9" hidden="1"/>
    <cellStyle name="Followed Hyperlink" xfId="6005" builtinId="9" hidden="1"/>
    <cellStyle name="Followed Hyperlink" xfId="6133" builtinId="9" hidden="1"/>
    <cellStyle name="Followed Hyperlink" xfId="6251" builtinId="9" hidden="1"/>
    <cellStyle name="Followed Hyperlink" xfId="6379" builtinId="9" hidden="1"/>
    <cellStyle name="Followed Hyperlink" xfId="6507" builtinId="9" hidden="1"/>
    <cellStyle name="Followed Hyperlink" xfId="6638" builtinId="9" hidden="1"/>
    <cellStyle name="Followed Hyperlink" xfId="6766" builtinId="9" hidden="1"/>
    <cellStyle name="Followed Hyperlink" xfId="6891" builtinId="9" hidden="1"/>
    <cellStyle name="Followed Hyperlink" xfId="7019" builtinId="9" hidden="1"/>
    <cellStyle name="Followed Hyperlink" xfId="7147" builtinId="9" hidden="1"/>
    <cellStyle name="Followed Hyperlink" xfId="7275" builtinId="9" hidden="1"/>
    <cellStyle name="Followed Hyperlink" xfId="7403" builtinId="9" hidden="1"/>
    <cellStyle name="Followed Hyperlink" xfId="7534" builtinId="9" hidden="1"/>
    <cellStyle name="Followed Hyperlink" xfId="7662" builtinId="9" hidden="1"/>
    <cellStyle name="Followed Hyperlink" xfId="7787" builtinId="9" hidden="1"/>
    <cellStyle name="Followed Hyperlink" xfId="7915" builtinId="9" hidden="1"/>
    <cellStyle name="Followed Hyperlink" xfId="7961" builtinId="9" hidden="1"/>
    <cellStyle name="Followed Hyperlink" xfId="7833" builtinId="9" hidden="1"/>
    <cellStyle name="Followed Hyperlink" xfId="7708" builtinId="9" hidden="1"/>
    <cellStyle name="Followed Hyperlink" xfId="7580" builtinId="9" hidden="1"/>
    <cellStyle name="Followed Hyperlink" xfId="7451" builtinId="9" hidden="1"/>
    <cellStyle name="Followed Hyperlink" xfId="7321" builtinId="9" hidden="1"/>
    <cellStyle name="Followed Hyperlink" xfId="7193" builtinId="9" hidden="1"/>
    <cellStyle name="Followed Hyperlink" xfId="7065" builtinId="9" hidden="1"/>
    <cellStyle name="Followed Hyperlink" xfId="6937" builtinId="9" hidden="1"/>
    <cellStyle name="Followed Hyperlink" xfId="6812" builtinId="9" hidden="1"/>
    <cellStyle name="Followed Hyperlink" xfId="6684" builtinId="9" hidden="1"/>
    <cellStyle name="Followed Hyperlink" xfId="6555" builtinId="9" hidden="1"/>
    <cellStyle name="Followed Hyperlink" xfId="6425" builtinId="9" hidden="1"/>
    <cellStyle name="Followed Hyperlink" xfId="6297" builtinId="9" hidden="1"/>
    <cellStyle name="Followed Hyperlink" xfId="6179" builtinId="9" hidden="1"/>
    <cellStyle name="Followed Hyperlink" xfId="6051" builtinId="9" hidden="1"/>
    <cellStyle name="Followed Hyperlink" xfId="5926" builtinId="9" hidden="1"/>
    <cellStyle name="Followed Hyperlink" xfId="5798" builtinId="9" hidden="1"/>
    <cellStyle name="Followed Hyperlink" xfId="5669" builtinId="9" hidden="1"/>
    <cellStyle name="Followed Hyperlink" xfId="5538" builtinId="9" hidden="1"/>
    <cellStyle name="Followed Hyperlink" xfId="5410" builtinId="9" hidden="1"/>
    <cellStyle name="Followed Hyperlink" xfId="5280" builtinId="9" hidden="1"/>
    <cellStyle name="Followed Hyperlink" xfId="5152" builtinId="9" hidden="1"/>
    <cellStyle name="Followed Hyperlink" xfId="5027" builtinId="9" hidden="1"/>
    <cellStyle name="Followed Hyperlink" xfId="4899" builtinId="9" hidden="1"/>
    <cellStyle name="Followed Hyperlink" xfId="4770" builtinId="9" hidden="1"/>
    <cellStyle name="Followed Hyperlink" xfId="4636" builtinId="9" hidden="1"/>
    <cellStyle name="Followed Hyperlink" xfId="4506" builtinId="9" hidden="1"/>
    <cellStyle name="Followed Hyperlink" xfId="4387" builtinId="9" hidden="1"/>
    <cellStyle name="Followed Hyperlink" xfId="4259" builtinId="9" hidden="1"/>
    <cellStyle name="Followed Hyperlink" xfId="4134" builtinId="9" hidden="1"/>
    <cellStyle name="Followed Hyperlink" xfId="4006" builtinId="9" hidden="1"/>
    <cellStyle name="Followed Hyperlink" xfId="3877" builtinId="9" hidden="1"/>
    <cellStyle name="Followed Hyperlink" xfId="3745" builtinId="9" hidden="1"/>
    <cellStyle name="Followed Hyperlink" xfId="3617" builtinId="9" hidden="1"/>
    <cellStyle name="Followed Hyperlink" xfId="3488" builtinId="9" hidden="1"/>
    <cellStyle name="Followed Hyperlink" xfId="3360" builtinId="9" hidden="1"/>
    <cellStyle name="Followed Hyperlink" xfId="3235" builtinId="9" hidden="1"/>
    <cellStyle name="Followed Hyperlink" xfId="3107" builtinId="9" hidden="1"/>
    <cellStyle name="Followed Hyperlink" xfId="2972" builtinId="9" hidden="1"/>
    <cellStyle name="Followed Hyperlink" xfId="2844" builtinId="9" hidden="1"/>
    <cellStyle name="Followed Hyperlink" xfId="2714" builtinId="9" hidden="1"/>
    <cellStyle name="Followed Hyperlink" xfId="2586" builtinId="9" hidden="1"/>
    <cellStyle name="Followed Hyperlink" xfId="2458" builtinId="9" hidden="1"/>
    <cellStyle name="Followed Hyperlink" xfId="2333" builtinId="9" hidden="1"/>
    <cellStyle name="Followed Hyperlink" xfId="2205" builtinId="9" hidden="1"/>
    <cellStyle name="Followed Hyperlink" xfId="2073" builtinId="9" hidden="1"/>
    <cellStyle name="Followed Hyperlink" xfId="1945" builtinId="9" hidden="1"/>
    <cellStyle name="Followed Hyperlink" xfId="1817" builtinId="9" hidden="1"/>
    <cellStyle name="Followed Hyperlink" xfId="1691" builtinId="9" hidden="1"/>
    <cellStyle name="Followed Hyperlink" xfId="1563" builtinId="9" hidden="1"/>
    <cellStyle name="Followed Hyperlink" xfId="1438" builtinId="9" hidden="1"/>
    <cellStyle name="Followed Hyperlink" xfId="1310" builtinId="9" hidden="1"/>
    <cellStyle name="Followed Hyperlink" xfId="1177" builtinId="9" hidden="1"/>
    <cellStyle name="Followed Hyperlink" xfId="1049" builtinId="9" hidden="1"/>
    <cellStyle name="Followed Hyperlink" xfId="920" builtinId="9" hidden="1"/>
    <cellStyle name="Followed Hyperlink" xfId="789" builtinId="9" hidden="1"/>
    <cellStyle name="Followed Hyperlink" xfId="661" builtinId="9" hidden="1"/>
    <cellStyle name="Followed Hyperlink" xfId="252" builtinId="9" hidden="1"/>
    <cellStyle name="Followed Hyperlink" xfId="343" builtinId="9" hidden="1"/>
    <cellStyle name="Followed Hyperlink" xfId="430" builtinId="9" hidden="1"/>
    <cellStyle name="Followed Hyperlink" xfId="514" builtinId="9" hidden="1"/>
    <cellStyle name="Followed Hyperlink" xfId="600" builtinId="9" hidden="1"/>
    <cellStyle name="Followed Hyperlink" xfId="388" builtinId="9" hidden="1"/>
    <cellStyle name="Followed Hyperlink" xfId="110" builtinId="9" hidden="1"/>
    <cellStyle name="Followed Hyperlink" xfId="184" builtinId="9" hidden="1"/>
    <cellStyle name="Followed Hyperlink" xfId="78" builtinId="9" hidden="1"/>
    <cellStyle name="Followed Hyperlink" xfId="16" builtinId="9" hidden="1"/>
    <cellStyle name="Followed Hyperlink" xfId="52" builtinId="9" hidden="1"/>
    <cellStyle name="Followed Hyperlink" xfId="158" builtinId="9" hidden="1"/>
    <cellStyle name="Followed Hyperlink" xfId="214" builtinId="9" hidden="1"/>
    <cellStyle name="Followed Hyperlink" xfId="476" builtinId="9" hidden="1"/>
    <cellStyle name="Followed Hyperlink" xfId="570" builtinId="9" hidden="1"/>
    <cellStyle name="Followed Hyperlink" xfId="486" builtinId="9" hidden="1"/>
    <cellStyle name="Followed Hyperlink" xfId="400" builtinId="9" hidden="1"/>
    <cellStyle name="Followed Hyperlink" xfId="313" builtinId="9" hidden="1"/>
    <cellStyle name="Followed Hyperlink" xfId="224" builtinId="9" hidden="1"/>
    <cellStyle name="Followed Hyperlink" xfId="705" builtinId="9" hidden="1"/>
    <cellStyle name="Followed Hyperlink" xfId="833" builtinId="9" hidden="1"/>
    <cellStyle name="Followed Hyperlink" xfId="964" builtinId="9" hidden="1"/>
    <cellStyle name="Followed Hyperlink" xfId="1093" builtinId="9" hidden="1"/>
    <cellStyle name="Followed Hyperlink" xfId="1225" builtinId="9" hidden="1"/>
    <cellStyle name="Followed Hyperlink" xfId="1354" builtinId="9" hidden="1"/>
    <cellStyle name="Followed Hyperlink" xfId="1482" builtinId="9" hidden="1"/>
    <cellStyle name="Followed Hyperlink" xfId="1607" builtinId="9" hidden="1"/>
    <cellStyle name="Followed Hyperlink" xfId="1735" builtinId="9" hidden="1"/>
    <cellStyle name="Followed Hyperlink" xfId="1861" builtinId="9" hidden="1"/>
    <cellStyle name="Followed Hyperlink" xfId="1989" builtinId="9" hidden="1"/>
    <cellStyle name="Followed Hyperlink" xfId="2120" builtinId="9" hidden="1"/>
    <cellStyle name="Followed Hyperlink" xfId="2249" builtinId="9" hidden="1"/>
    <cellStyle name="Followed Hyperlink" xfId="2377" builtinId="9" hidden="1"/>
    <cellStyle name="Followed Hyperlink" xfId="2502" builtinId="9" hidden="1"/>
    <cellStyle name="Followed Hyperlink" xfId="2630" builtinId="9" hidden="1"/>
    <cellStyle name="Followed Hyperlink" xfId="2760" builtinId="9" hidden="1"/>
    <cellStyle name="Followed Hyperlink" xfId="2888" builtinId="9" hidden="1"/>
    <cellStyle name="Followed Hyperlink" xfId="3022" builtinId="9" hidden="1"/>
    <cellStyle name="Followed Hyperlink" xfId="3151" builtinId="9" hidden="1"/>
    <cellStyle name="Followed Hyperlink" xfId="2979" builtinId="9" hidden="1"/>
    <cellStyle name="Followed Hyperlink" xfId="3404" builtinId="9" hidden="1"/>
    <cellStyle name="Followed Hyperlink" xfId="3532" builtinId="9" hidden="1"/>
    <cellStyle name="Followed Hyperlink" xfId="3661" builtinId="9" hidden="1"/>
    <cellStyle name="Followed Hyperlink" xfId="3789" builtinId="9" hidden="1"/>
    <cellStyle name="Followed Hyperlink" xfId="3921" builtinId="9" hidden="1"/>
    <cellStyle name="Followed Hyperlink" xfId="4050" builtinId="9" hidden="1"/>
    <cellStyle name="Followed Hyperlink" xfId="4175" builtinId="9" hidden="1"/>
    <cellStyle name="Followed Hyperlink" xfId="4303" builtinId="9" hidden="1"/>
    <cellStyle name="Followed Hyperlink" xfId="4431" builtinId="9" hidden="1"/>
    <cellStyle name="Followed Hyperlink" xfId="4552" builtinId="9" hidden="1"/>
    <cellStyle name="Followed Hyperlink" xfId="4680" builtinId="9" hidden="1"/>
    <cellStyle name="Followed Hyperlink" xfId="4814" builtinId="9" hidden="1"/>
    <cellStyle name="Followed Hyperlink" xfId="4943" builtinId="9" hidden="1"/>
    <cellStyle name="Followed Hyperlink" xfId="5068" builtinId="9" hidden="1"/>
    <cellStyle name="Followed Hyperlink" xfId="5196" builtinId="9" hidden="1"/>
    <cellStyle name="Followed Hyperlink" xfId="5324" builtinId="9" hidden="1"/>
    <cellStyle name="Followed Hyperlink" xfId="5454" builtinId="9" hidden="1"/>
    <cellStyle name="Followed Hyperlink" xfId="5582" builtinId="9" hidden="1"/>
    <cellStyle name="Followed Hyperlink" xfId="5713" builtinId="9" hidden="1"/>
    <cellStyle name="Followed Hyperlink" xfId="5842" builtinId="9" hidden="1"/>
    <cellStyle name="Followed Hyperlink" xfId="5967" builtinId="9" hidden="1"/>
    <cellStyle name="Followed Hyperlink" xfId="6095" builtinId="9" hidden="1"/>
    <cellStyle name="Followed Hyperlink" xfId="6223" builtinId="9" hidden="1"/>
    <cellStyle name="Followed Hyperlink" xfId="6341" builtinId="9" hidden="1"/>
    <cellStyle name="Followed Hyperlink" xfId="6469" builtinId="9" hidden="1"/>
    <cellStyle name="Followed Hyperlink" xfId="6600" builtinId="9" hidden="1"/>
    <cellStyle name="Followed Hyperlink" xfId="6728" builtinId="9" hidden="1"/>
    <cellStyle name="Followed Hyperlink" xfId="6853" builtinId="9" hidden="1"/>
    <cellStyle name="Followed Hyperlink" xfId="5852" builtinId="9" hidden="1"/>
    <cellStyle name="Followed Hyperlink" xfId="5945" builtinId="9" hidden="1"/>
    <cellStyle name="Followed Hyperlink" xfId="6025" builtinId="9" hidden="1"/>
    <cellStyle name="Followed Hyperlink" xfId="6105" builtinId="9" hidden="1"/>
    <cellStyle name="Followed Hyperlink" xfId="6201" builtinId="9" hidden="1"/>
    <cellStyle name="Followed Hyperlink" xfId="6271" builtinId="9" hidden="1"/>
    <cellStyle name="Followed Hyperlink" xfId="6351" builtinId="9" hidden="1"/>
    <cellStyle name="Followed Hyperlink" xfId="6447" builtinId="9" hidden="1"/>
    <cellStyle name="Followed Hyperlink" xfId="6529" builtinId="9" hidden="1"/>
    <cellStyle name="Followed Hyperlink" xfId="6610" builtinId="9" hidden="1"/>
    <cellStyle name="Followed Hyperlink" xfId="6706" builtinId="9" hidden="1"/>
    <cellStyle name="Followed Hyperlink" xfId="6786" builtinId="9" hidden="1"/>
    <cellStyle name="Followed Hyperlink" xfId="6863" builtinId="9" hidden="1"/>
    <cellStyle name="Followed Hyperlink" xfId="6959" builtinId="9" hidden="1"/>
    <cellStyle name="Followed Hyperlink" xfId="7039" builtinId="9" hidden="1"/>
    <cellStyle name="Followed Hyperlink" xfId="7119" builtinId="9" hidden="1"/>
    <cellStyle name="Followed Hyperlink" xfId="7215" builtinId="9" hidden="1"/>
    <cellStyle name="Followed Hyperlink" xfId="7295" builtinId="9" hidden="1"/>
    <cellStyle name="Followed Hyperlink" xfId="7375" builtinId="9" hidden="1"/>
    <cellStyle name="Followed Hyperlink" xfId="7473" builtinId="9" hidden="1"/>
    <cellStyle name="Followed Hyperlink" xfId="7554" builtinId="9" hidden="1"/>
    <cellStyle name="Followed Hyperlink" xfId="7634" builtinId="9" hidden="1"/>
    <cellStyle name="Followed Hyperlink" xfId="7727" builtinId="9" hidden="1"/>
    <cellStyle name="Followed Hyperlink" xfId="7807" builtinId="9" hidden="1"/>
    <cellStyle name="Followed Hyperlink" xfId="7887" builtinId="9" hidden="1"/>
    <cellStyle name="Followed Hyperlink" xfId="7983" builtinId="9" hidden="1"/>
    <cellStyle name="Followed Hyperlink" xfId="7941" builtinId="9" hidden="1"/>
    <cellStyle name="Followed Hyperlink" xfId="7861" builtinId="9" hidden="1"/>
    <cellStyle name="Followed Hyperlink" xfId="7765" builtinId="9" hidden="1"/>
    <cellStyle name="Followed Hyperlink" xfId="7688" builtinId="9" hidden="1"/>
    <cellStyle name="Followed Hyperlink" xfId="7608" builtinId="9" hidden="1"/>
    <cellStyle name="Followed Hyperlink" xfId="7512" builtinId="9" hidden="1"/>
    <cellStyle name="Followed Hyperlink" xfId="7431" builtinId="9" hidden="1"/>
    <cellStyle name="Followed Hyperlink" xfId="7349" builtinId="9" hidden="1"/>
    <cellStyle name="Followed Hyperlink" xfId="7253" builtinId="9" hidden="1"/>
    <cellStyle name="Followed Hyperlink" xfId="7173" builtinId="9" hidden="1"/>
    <cellStyle name="Followed Hyperlink" xfId="7093" builtinId="9" hidden="1"/>
    <cellStyle name="Followed Hyperlink" xfId="6997" builtinId="9" hidden="1"/>
    <cellStyle name="Followed Hyperlink" xfId="7077" builtinId="9" hidden="1"/>
    <cellStyle name="Followed Hyperlink" xfId="7333" builtinId="9" hidden="1"/>
    <cellStyle name="Followed Hyperlink" xfId="7592" builtinId="9" hidden="1"/>
    <cellStyle name="Followed Hyperlink" xfId="7845" builtinId="9" hidden="1"/>
    <cellStyle name="Followed Hyperlink" xfId="7903" builtinId="9" hidden="1"/>
    <cellStyle name="Followed Hyperlink" xfId="7650" builtinId="9" hidden="1"/>
    <cellStyle name="Followed Hyperlink" xfId="7391" builtinId="9" hidden="1"/>
    <cellStyle name="Followed Hyperlink" xfId="7135" builtinId="9" hidden="1"/>
    <cellStyle name="Followed Hyperlink" xfId="6879" builtinId="9" hidden="1"/>
    <cellStyle name="Followed Hyperlink" xfId="6626" builtinId="9" hidden="1"/>
    <cellStyle name="Followed Hyperlink" xfId="6367" builtinId="9" hidden="1"/>
    <cellStyle name="Followed Hyperlink" xfId="6121" builtinId="9" hidden="1"/>
    <cellStyle name="Followed Hyperlink" xfId="5868" builtinId="9" hidden="1"/>
    <cellStyle name="Followed Hyperlink" xfId="4985" builtinId="9" hidden="1"/>
    <cellStyle name="Followed Hyperlink" xfId="5062" builtinId="9" hidden="1"/>
    <cellStyle name="Followed Hyperlink" xfId="5126" builtinId="9" hidden="1"/>
    <cellStyle name="Followed Hyperlink" xfId="5206" builtinId="9" hidden="1"/>
    <cellStyle name="Followed Hyperlink" xfId="5270" builtinId="9" hidden="1"/>
    <cellStyle name="Followed Hyperlink" xfId="5352" builtinId="9" hidden="1"/>
    <cellStyle name="Followed Hyperlink" xfId="5432" builtinId="9" hidden="1"/>
    <cellStyle name="Followed Hyperlink" xfId="5496" builtinId="9" hidden="1"/>
    <cellStyle name="Followed Hyperlink" xfId="5576" builtinId="9" hidden="1"/>
    <cellStyle name="Followed Hyperlink" xfId="5640" builtinId="9" hidden="1"/>
    <cellStyle name="Followed Hyperlink" xfId="5724" builtinId="9" hidden="1"/>
    <cellStyle name="Followed Hyperlink" xfId="5788" builtinId="9" hidden="1"/>
    <cellStyle name="Followed Hyperlink" xfId="5675" builtinId="9" hidden="1"/>
    <cellStyle name="Followed Hyperlink" xfId="5158" builtinId="9" hidden="1"/>
    <cellStyle name="Followed Hyperlink" xfId="4594" builtinId="9" hidden="1"/>
    <cellStyle name="Followed Hyperlink" xfId="4658" builtinId="9" hidden="1"/>
    <cellStyle name="Followed Hyperlink" xfId="4722" builtinId="9" hidden="1"/>
    <cellStyle name="Followed Hyperlink" xfId="4808" builtinId="9" hidden="1"/>
    <cellStyle name="Followed Hyperlink" xfId="4873" builtinId="9" hidden="1"/>
    <cellStyle name="Followed Hyperlink" xfId="4776" builtinId="9" hidden="1"/>
    <cellStyle name="Followed Hyperlink" xfId="4441" builtinId="9" hidden="1"/>
    <cellStyle name="Followed Hyperlink" xfId="4496" builtinId="9" hidden="1"/>
    <cellStyle name="Followed Hyperlink" xfId="4313" builtinId="9" hidden="1"/>
    <cellStyle name="Followed Hyperlink" xfId="4377" builtinId="9" hidden="1"/>
    <cellStyle name="Followed Hyperlink" xfId="4249" builtinId="9" hidden="1"/>
    <cellStyle name="Followed Hyperlink" xfId="4281" builtinId="9" hidden="1"/>
    <cellStyle name="Followed Hyperlink" xfId="4329" builtinId="9" hidden="1"/>
    <cellStyle name="Followed Hyperlink" xfId="4530" builtinId="9" hidden="1"/>
    <cellStyle name="Followed Hyperlink" xfId="4457" builtinId="9" hidden="1"/>
    <cellStyle name="Followed Hyperlink" xfId="4393" builtinId="9" hidden="1"/>
    <cellStyle name="Followed Hyperlink" xfId="4889" builtinId="9" hidden="1"/>
    <cellStyle name="Followed Hyperlink" xfId="4824" builtinId="9" hidden="1"/>
    <cellStyle name="Followed Hyperlink" xfId="4738" builtinId="9" hidden="1"/>
    <cellStyle name="Followed Hyperlink" xfId="4674" builtinId="9" hidden="1"/>
    <cellStyle name="Followed Hyperlink" xfId="4610" builtinId="9" hidden="1"/>
    <cellStyle name="Followed Hyperlink" xfId="5033" builtinId="9" hidden="1"/>
    <cellStyle name="Followed Hyperlink" xfId="5544" builtinId="9" hidden="1"/>
    <cellStyle name="Followed Hyperlink" xfId="5820" builtinId="9" hidden="1"/>
    <cellStyle name="Followed Hyperlink" xfId="5740" builtinId="9" hidden="1"/>
    <cellStyle name="Followed Hyperlink" xfId="5659" builtinId="9" hidden="1"/>
    <cellStyle name="Followed Hyperlink" xfId="5592" builtinId="9" hidden="1"/>
    <cellStyle name="Followed Hyperlink" xfId="5512" builtinId="9" hidden="1"/>
    <cellStyle name="Followed Hyperlink" xfId="5448" builtinId="9" hidden="1"/>
    <cellStyle name="Followed Hyperlink" xfId="5368" builtinId="9" hidden="1"/>
    <cellStyle name="Followed Hyperlink" xfId="5302" builtinId="9" hidden="1"/>
    <cellStyle name="Followed Hyperlink" xfId="5222" builtinId="9" hidden="1"/>
    <cellStyle name="Followed Hyperlink" xfId="5142" builtinId="9" hidden="1"/>
    <cellStyle name="Followed Hyperlink" xfId="5078" builtinId="9" hidden="1"/>
    <cellStyle name="Followed Hyperlink" xfId="5001" builtinId="9" hidden="1"/>
    <cellStyle name="Followed Hyperlink" xfId="4937" builtinId="9" hidden="1"/>
    <cellStyle name="Followed Hyperlink" xfId="6057" builtinId="9" hidden="1"/>
    <cellStyle name="Followed Hyperlink" xfId="6303" builtinId="9" hidden="1"/>
    <cellStyle name="Followed Hyperlink" xfId="6561" builtinId="9" hidden="1"/>
    <cellStyle name="Followed Hyperlink" xfId="6818" builtinId="9" hidden="1"/>
    <cellStyle name="Followed Hyperlink" xfId="7071" builtinId="9" hidden="1"/>
    <cellStyle name="Followed Hyperlink" xfId="7327" builtinId="9" hidden="1"/>
    <cellStyle name="Followed Hyperlink" xfId="7586" builtinId="9" hidden="1"/>
    <cellStyle name="Followed Hyperlink" xfId="7839" builtinId="9" hidden="1"/>
    <cellStyle name="Followed Hyperlink" xfId="7909" builtinId="9" hidden="1"/>
    <cellStyle name="Followed Hyperlink" xfId="7656" builtinId="9" hidden="1"/>
    <cellStyle name="Followed Hyperlink" xfId="7397" builtinId="9" hidden="1"/>
    <cellStyle name="Followed Hyperlink" xfId="7141" builtinId="9" hidden="1"/>
    <cellStyle name="Followed Hyperlink" xfId="6981" builtinId="9" hidden="1"/>
    <cellStyle name="Followed Hyperlink" xfId="7061" builtinId="9" hidden="1"/>
    <cellStyle name="Followed Hyperlink" xfId="7157" builtinId="9" hidden="1"/>
    <cellStyle name="Followed Hyperlink" xfId="7237" builtinId="9" hidden="1"/>
    <cellStyle name="Followed Hyperlink" xfId="7317" builtinId="9" hidden="1"/>
    <cellStyle name="Followed Hyperlink" xfId="7415" builtinId="9" hidden="1"/>
    <cellStyle name="Followed Hyperlink" xfId="7496" builtinId="9" hidden="1"/>
    <cellStyle name="Followed Hyperlink" xfId="7576" builtinId="9" hidden="1"/>
    <cellStyle name="Followed Hyperlink" xfId="7672" builtinId="9" hidden="1"/>
    <cellStyle name="Followed Hyperlink" xfId="7749" builtinId="9" hidden="1"/>
    <cellStyle name="Followed Hyperlink" xfId="7829" builtinId="9" hidden="1"/>
    <cellStyle name="Followed Hyperlink" xfId="7925" builtinId="9" hidden="1"/>
    <cellStyle name="Followed Hyperlink" xfId="7999" builtinId="9" hidden="1"/>
    <cellStyle name="Followed Hyperlink" xfId="7919" builtinId="9" hidden="1"/>
    <cellStyle name="Followed Hyperlink" xfId="7823" builtinId="9" hidden="1"/>
    <cellStyle name="Followed Hyperlink" xfId="7743" builtinId="9" hidden="1"/>
    <cellStyle name="Followed Hyperlink" xfId="7666" builtinId="9" hidden="1"/>
    <cellStyle name="Followed Hyperlink" xfId="7570" builtinId="9" hidden="1"/>
    <cellStyle name="Followed Hyperlink" xfId="7490" builtinId="9" hidden="1"/>
    <cellStyle name="Followed Hyperlink" xfId="7407" builtinId="9" hidden="1"/>
    <cellStyle name="Followed Hyperlink" xfId="7311" builtinId="9" hidden="1"/>
    <cellStyle name="Followed Hyperlink" xfId="7231" builtinId="9" hidden="1"/>
    <cellStyle name="Followed Hyperlink" xfId="7151" builtinId="9" hidden="1"/>
    <cellStyle name="Followed Hyperlink" xfId="7055" builtinId="9" hidden="1"/>
    <cellStyle name="Followed Hyperlink" xfId="6975" builtinId="9" hidden="1"/>
    <cellStyle name="Followed Hyperlink" xfId="6895" builtinId="9" hidden="1"/>
    <cellStyle name="Followed Hyperlink" xfId="6802" builtinId="9" hidden="1"/>
    <cellStyle name="Followed Hyperlink" xfId="6722" builtinId="9" hidden="1"/>
    <cellStyle name="Followed Hyperlink" xfId="6642" builtinId="9" hidden="1"/>
    <cellStyle name="Followed Hyperlink" xfId="6545" builtinId="9" hidden="1"/>
    <cellStyle name="Followed Hyperlink" xfId="6463" builtinId="9" hidden="1"/>
    <cellStyle name="Followed Hyperlink" xfId="6383" builtinId="9" hidden="1"/>
    <cellStyle name="Followed Hyperlink" xfId="6287" builtinId="9" hidden="1"/>
    <cellStyle name="Followed Hyperlink" xfId="6217" builtinId="9" hidden="1"/>
    <cellStyle name="Followed Hyperlink" xfId="6137" builtinId="9" hidden="1"/>
    <cellStyle name="Followed Hyperlink" xfId="6041" builtinId="9" hidden="1"/>
    <cellStyle name="Followed Hyperlink" xfId="5961" builtinId="9" hidden="1"/>
    <cellStyle name="Followed Hyperlink" xfId="5884" builtinId="9" hidden="1"/>
    <cellStyle name="Followed Hyperlink" xfId="6885" builtinId="9" hidden="1"/>
    <cellStyle name="Followed Hyperlink" xfId="6760" builtinId="9" hidden="1"/>
    <cellStyle name="Followed Hyperlink" xfId="6632" builtinId="9" hidden="1"/>
    <cellStyle name="Followed Hyperlink" xfId="6501" builtinId="9" hidden="1"/>
    <cellStyle name="Followed Hyperlink" xfId="6373" builtinId="9" hidden="1"/>
    <cellStyle name="Followed Hyperlink" xfId="6245" builtinId="9" hidden="1"/>
    <cellStyle name="Followed Hyperlink" xfId="6127" builtinId="9" hidden="1"/>
    <cellStyle name="Followed Hyperlink" xfId="5999" builtinId="9" hidden="1"/>
    <cellStyle name="Followed Hyperlink" xfId="5874" builtinId="9" hidden="1"/>
    <cellStyle name="Followed Hyperlink" xfId="5746" builtinId="9" hidden="1"/>
    <cellStyle name="Followed Hyperlink" xfId="5614" builtinId="9" hidden="1"/>
    <cellStyle name="Followed Hyperlink" xfId="5486" builtinId="9" hidden="1"/>
    <cellStyle name="Followed Hyperlink" xfId="5358" builtinId="9" hidden="1"/>
    <cellStyle name="Followed Hyperlink" xfId="5228" builtinId="9" hidden="1"/>
    <cellStyle name="Followed Hyperlink" xfId="5100" builtinId="9" hidden="1"/>
    <cellStyle name="Followed Hyperlink" xfId="4975" builtinId="9" hidden="1"/>
    <cellStyle name="Followed Hyperlink" xfId="4847" builtinId="9" hidden="1"/>
    <cellStyle name="Followed Hyperlink" xfId="4712" builtinId="9" hidden="1"/>
    <cellStyle name="Followed Hyperlink" xfId="4584" builtinId="9" hidden="1"/>
    <cellStyle name="Followed Hyperlink" xfId="2973" builtinId="9" hidden="1"/>
    <cellStyle name="Followed Hyperlink" xfId="4335" builtinId="9" hidden="1"/>
    <cellStyle name="Followed Hyperlink" xfId="4207" builtinId="9" hidden="1"/>
    <cellStyle name="Followed Hyperlink" xfId="4082" builtinId="9" hidden="1"/>
    <cellStyle name="Followed Hyperlink" xfId="3954" builtinId="9" hidden="1"/>
    <cellStyle name="Followed Hyperlink" xfId="3821" builtinId="9" hidden="1"/>
    <cellStyle name="Followed Hyperlink" xfId="3693" builtinId="9" hidden="1"/>
    <cellStyle name="Followed Hyperlink" xfId="3564" builtinId="9" hidden="1"/>
    <cellStyle name="Followed Hyperlink" xfId="3436" builtinId="9" hidden="1"/>
    <cellStyle name="Followed Hyperlink" xfId="3308" builtinId="9" hidden="1"/>
    <cellStyle name="Followed Hyperlink" xfId="3183" builtinId="9" hidden="1"/>
    <cellStyle name="Followed Hyperlink" xfId="3055" builtinId="9" hidden="1"/>
    <cellStyle name="Followed Hyperlink" xfId="2920" builtinId="9" hidden="1"/>
    <cellStyle name="Followed Hyperlink" xfId="2792" builtinId="9" hidden="1"/>
    <cellStyle name="Followed Hyperlink" xfId="2662" builtinId="9" hidden="1"/>
    <cellStyle name="Followed Hyperlink" xfId="2534" builtinId="9" hidden="1"/>
    <cellStyle name="Followed Hyperlink" xfId="2406" builtinId="9" hidden="1"/>
    <cellStyle name="Followed Hyperlink" xfId="2281" builtinId="9" hidden="1"/>
    <cellStyle name="Followed Hyperlink" xfId="2152" builtinId="9" hidden="1"/>
    <cellStyle name="Followed Hyperlink" xfId="2021" builtinId="9" hidden="1"/>
    <cellStyle name="Followed Hyperlink" xfId="1893" builtinId="9" hidden="1"/>
    <cellStyle name="Followed Hyperlink" xfId="1767" builtinId="9" hidden="1"/>
    <cellStyle name="Followed Hyperlink" xfId="1639" builtinId="9" hidden="1"/>
    <cellStyle name="Followed Hyperlink" xfId="1511" builtinId="9" hidden="1"/>
    <cellStyle name="Followed Hyperlink" xfId="1386" builtinId="9" hidden="1"/>
    <cellStyle name="Followed Hyperlink" xfId="1257" builtinId="9" hidden="1"/>
    <cellStyle name="Followed Hyperlink" xfId="1125" builtinId="9" hidden="1"/>
    <cellStyle name="Followed Hyperlink" xfId="997" builtinId="9" hidden="1"/>
    <cellStyle name="Followed Hyperlink" xfId="865" builtinId="9" hidden="1"/>
    <cellStyle name="Followed Hyperlink" xfId="737" builtinId="9" hidden="1"/>
    <cellStyle name="Followed Hyperlink" xfId="609" builtinId="9" hidden="1"/>
    <cellStyle name="Followed Hyperlink" xfId="288" builtinId="9" hidden="1"/>
    <cellStyle name="Followed Hyperlink" xfId="377" builtinId="9" hidden="1"/>
    <cellStyle name="Followed Hyperlink" xfId="464" builtinId="9" hidden="1"/>
    <cellStyle name="Followed Hyperlink" xfId="550" builtinId="9" hidden="1"/>
    <cellStyle name="Followed Hyperlink" xfId="540" builtinId="9" hidden="1"/>
    <cellStyle name="Followed Hyperlink" xfId="278" builtinId="9" hidden="1"/>
    <cellStyle name="Followed Hyperlink" xfId="140" builtinId="9" hidden="1"/>
    <cellStyle name="Followed Hyperlink" xfId="134" builtinId="9" hidden="1"/>
    <cellStyle name="Followed Hyperlink" xfId="32" builtinId="9" hidden="1"/>
    <cellStyle name="Followed Hyperlink" xfId="22" builtinId="9" hidden="1"/>
    <cellStyle name="Followed Hyperlink" xfId="202" builtinId="9" hidden="1"/>
    <cellStyle name="Followed Hyperlink" xfId="128" builtinId="9" hidden="1"/>
    <cellStyle name="Followed Hyperlink" xfId="323" builtinId="9" hidden="1"/>
    <cellStyle name="Followed Hyperlink" xfId="580" builtinId="9" hidden="1"/>
    <cellStyle name="Followed Hyperlink" xfId="536" builtinId="9" hidden="1"/>
    <cellStyle name="Followed Hyperlink" xfId="450" builtinId="9" hidden="1"/>
    <cellStyle name="Followed Hyperlink" xfId="365" builtinId="9" hidden="1"/>
    <cellStyle name="Followed Hyperlink" xfId="274" builtinId="9" hidden="1"/>
    <cellStyle name="Followed Hyperlink" xfId="629" builtinId="9" hidden="1"/>
    <cellStyle name="Followed Hyperlink" xfId="757" builtinId="9" hidden="1"/>
    <cellStyle name="Followed Hyperlink" xfId="885" builtinId="9" hidden="1"/>
    <cellStyle name="Followed Hyperlink" xfId="1017" builtinId="9" hidden="1"/>
    <cellStyle name="Followed Hyperlink" xfId="1145" builtinId="9" hidden="1"/>
    <cellStyle name="Followed Hyperlink" xfId="1278" builtinId="9" hidden="1"/>
    <cellStyle name="Followed Hyperlink" xfId="1406" builtinId="9" hidden="1"/>
    <cellStyle name="Followed Hyperlink" xfId="1531" builtinId="9" hidden="1"/>
    <cellStyle name="Followed Hyperlink" xfId="1659" builtinId="9" hidden="1"/>
    <cellStyle name="Followed Hyperlink" xfId="1787" builtinId="9" hidden="1"/>
    <cellStyle name="Followed Hyperlink" xfId="1913" builtinId="9" hidden="1"/>
    <cellStyle name="Followed Hyperlink" xfId="2041" builtinId="9" hidden="1"/>
    <cellStyle name="Followed Hyperlink" xfId="2173" builtinId="9" hidden="1"/>
    <cellStyle name="Followed Hyperlink" xfId="2301" builtinId="9" hidden="1"/>
    <cellStyle name="Followed Hyperlink" xfId="2426" builtinId="9" hidden="1"/>
    <cellStyle name="Followed Hyperlink" xfId="2554" builtinId="9" hidden="1"/>
    <cellStyle name="Followed Hyperlink" xfId="2682" builtinId="9" hidden="1"/>
    <cellStyle name="Followed Hyperlink" xfId="2812" builtinId="9" hidden="1"/>
    <cellStyle name="Followed Hyperlink" xfId="2940" builtinId="9" hidden="1"/>
    <cellStyle name="Followed Hyperlink" xfId="3075" builtinId="9" hidden="1"/>
    <cellStyle name="Followed Hyperlink" xfId="3203" builtinId="9" hidden="1"/>
    <cellStyle name="Followed Hyperlink" xfId="3328" builtinId="9" hidden="1"/>
    <cellStyle name="Followed Hyperlink" xfId="3456" builtinId="9" hidden="1"/>
    <cellStyle name="Followed Hyperlink" xfId="3585" builtinId="9" hidden="1"/>
    <cellStyle name="Followed Hyperlink" xfId="3713" builtinId="9" hidden="1"/>
    <cellStyle name="Followed Hyperlink" xfId="3841" builtinId="9" hidden="1"/>
    <cellStyle name="Followed Hyperlink" xfId="3974" builtinId="9" hidden="1"/>
    <cellStyle name="Followed Hyperlink" xfId="4102" builtinId="9" hidden="1"/>
    <cellStyle name="Followed Hyperlink" xfId="4227" builtinId="9" hidden="1"/>
    <cellStyle name="Followed Hyperlink" xfId="4355" builtinId="9" hidden="1"/>
    <cellStyle name="Followed Hyperlink" xfId="4474" builtinId="9" hidden="1"/>
    <cellStyle name="Followed Hyperlink" xfId="4604" builtinId="9" hidden="1"/>
    <cellStyle name="Followed Hyperlink" xfId="4732" builtinId="9" hidden="1"/>
    <cellStyle name="Followed Hyperlink" xfId="4867" builtinId="9" hidden="1"/>
    <cellStyle name="Followed Hyperlink" xfId="4995" builtinId="9" hidden="1"/>
    <cellStyle name="Followed Hyperlink" xfId="5120" builtinId="9" hidden="1"/>
    <cellStyle name="Followed Hyperlink" xfId="5248" builtinId="9" hidden="1"/>
    <cellStyle name="Followed Hyperlink" xfId="5378" builtinId="9" hidden="1"/>
    <cellStyle name="Followed Hyperlink" xfId="5506" builtinId="9" hidden="1"/>
    <cellStyle name="Followed Hyperlink" xfId="5634" builtinId="9" hidden="1"/>
    <cellStyle name="Followed Hyperlink" xfId="5766" builtinId="9" hidden="1"/>
    <cellStyle name="Followed Hyperlink" xfId="5894" builtinId="9" hidden="1"/>
    <cellStyle name="Followed Hyperlink" xfId="6019" builtinId="9" hidden="1"/>
    <cellStyle name="Followed Hyperlink" xfId="6147" builtinId="9" hidden="1"/>
    <cellStyle name="Followed Hyperlink" xfId="6265" builtinId="9" hidden="1"/>
    <cellStyle name="Followed Hyperlink" xfId="6393" builtinId="9" hidden="1"/>
    <cellStyle name="Followed Hyperlink" xfId="6521" builtinId="9" hidden="1"/>
    <cellStyle name="Followed Hyperlink" xfId="6652" builtinId="9" hidden="1"/>
    <cellStyle name="Followed Hyperlink" xfId="6780" builtinId="9" hidden="1"/>
    <cellStyle name="Followed Hyperlink" xfId="6905" builtinId="9" hidden="1"/>
    <cellStyle name="Followed Hyperlink" xfId="7033" builtinId="9" hidden="1"/>
    <cellStyle name="Followed Hyperlink" xfId="7161" builtinId="9" hidden="1"/>
    <cellStyle name="Followed Hyperlink" xfId="7289" builtinId="9" hidden="1"/>
    <cellStyle name="Followed Hyperlink" xfId="7419" builtinId="9" hidden="1"/>
    <cellStyle name="Followed Hyperlink" xfId="7548" builtinId="9" hidden="1"/>
    <cellStyle name="Followed Hyperlink" xfId="7676" builtinId="9" hidden="1"/>
    <cellStyle name="Followed Hyperlink" xfId="7801" builtinId="9" hidden="1"/>
    <cellStyle name="Followed Hyperlink" xfId="7929" builtinId="9" hidden="1"/>
    <cellStyle name="Followed Hyperlink" xfId="7947" builtinId="9" hidden="1"/>
    <cellStyle name="Followed Hyperlink" xfId="7819" builtinId="9" hidden="1"/>
    <cellStyle name="Followed Hyperlink" xfId="7694" builtinId="9" hidden="1"/>
    <cellStyle name="Followed Hyperlink" xfId="7566" builtinId="9" hidden="1"/>
    <cellStyle name="Followed Hyperlink" xfId="7437" builtinId="9" hidden="1"/>
    <cellStyle name="Followed Hyperlink" xfId="7307" builtinId="9" hidden="1"/>
    <cellStyle name="Followed Hyperlink" xfId="7179" builtinId="9" hidden="1"/>
    <cellStyle name="Followed Hyperlink" xfId="7051" builtinId="9" hidden="1"/>
    <cellStyle name="Followed Hyperlink" xfId="6923" builtinId="9" hidden="1"/>
    <cellStyle name="Followed Hyperlink" xfId="6798" builtinId="9" hidden="1"/>
    <cellStyle name="Followed Hyperlink" xfId="6670" builtinId="9" hidden="1"/>
    <cellStyle name="Followed Hyperlink" xfId="6541" builtinId="9" hidden="1"/>
    <cellStyle name="Followed Hyperlink" xfId="6411" builtinId="9" hidden="1"/>
    <cellStyle name="Followed Hyperlink" xfId="6283" builtinId="9" hidden="1"/>
    <cellStyle name="Followed Hyperlink" xfId="6165" builtinId="9" hidden="1"/>
    <cellStyle name="Followed Hyperlink" xfId="6037" builtinId="9" hidden="1"/>
    <cellStyle name="Followed Hyperlink" xfId="5912" builtinId="9" hidden="1"/>
    <cellStyle name="Followed Hyperlink" xfId="5784" builtinId="9" hidden="1"/>
    <cellStyle name="Followed Hyperlink" xfId="5655" builtinId="9" hidden="1"/>
    <cellStyle name="Followed Hyperlink" xfId="5524" builtinId="9" hidden="1"/>
    <cellStyle name="Followed Hyperlink" xfId="5396" builtinId="9" hidden="1"/>
    <cellStyle name="Followed Hyperlink" xfId="5266" builtinId="9" hidden="1"/>
    <cellStyle name="Followed Hyperlink" xfId="5138" builtinId="9" hidden="1"/>
    <cellStyle name="Followed Hyperlink" xfId="5013" builtinId="9" hidden="1"/>
    <cellStyle name="Followed Hyperlink" xfId="4885" builtinId="9" hidden="1"/>
    <cellStyle name="Followed Hyperlink" xfId="4756" builtinId="9" hidden="1"/>
    <cellStyle name="Followed Hyperlink" xfId="4622" builtinId="9" hidden="1"/>
    <cellStyle name="Followed Hyperlink" xfId="4492" builtinId="9" hidden="1"/>
    <cellStyle name="Followed Hyperlink" xfId="4373" builtinId="9" hidden="1"/>
    <cellStyle name="Followed Hyperlink" xfId="4245" builtinId="9" hidden="1"/>
    <cellStyle name="Followed Hyperlink" xfId="4120" builtinId="9" hidden="1"/>
    <cellStyle name="Followed Hyperlink" xfId="3992" builtinId="9" hidden="1"/>
    <cellStyle name="Followed Hyperlink" xfId="3859" builtinId="9" hidden="1"/>
    <cellStyle name="Followed Hyperlink" xfId="3731" builtinId="9" hidden="1"/>
    <cellStyle name="Followed Hyperlink" xfId="3603" builtinId="9" hidden="1"/>
    <cellStyle name="Followed Hyperlink" xfId="3474" builtinId="9" hidden="1"/>
    <cellStyle name="Followed Hyperlink" xfId="3346" builtinId="9" hidden="1"/>
    <cellStyle name="Followed Hyperlink" xfId="3221" builtinId="9" hidden="1"/>
    <cellStyle name="Followed Hyperlink" xfId="3093" builtinId="9" hidden="1"/>
    <cellStyle name="Followed Hyperlink" xfId="2958" builtinId="9" hidden="1"/>
    <cellStyle name="Followed Hyperlink" xfId="2830" builtinId="9" hidden="1"/>
    <cellStyle name="Followed Hyperlink" xfId="2700" builtinId="9" hidden="1"/>
    <cellStyle name="Followed Hyperlink" xfId="2572" builtinId="9" hidden="1"/>
    <cellStyle name="Followed Hyperlink" xfId="2444" builtinId="9" hidden="1"/>
    <cellStyle name="Followed Hyperlink" xfId="2319" builtinId="9" hidden="1"/>
    <cellStyle name="Followed Hyperlink" xfId="2191" builtinId="9" hidden="1"/>
    <cellStyle name="Followed Hyperlink" xfId="2059" builtinId="9" hidden="1"/>
    <cellStyle name="Followed Hyperlink" xfId="1931" builtinId="9" hidden="1"/>
    <cellStyle name="Followed Hyperlink" xfId="1023" builtinId="9" hidden="1"/>
    <cellStyle name="Followed Hyperlink" xfId="1107" builtinId="9" hidden="1"/>
    <cellStyle name="Followed Hyperlink" xfId="1191" builtinId="9" hidden="1"/>
    <cellStyle name="Followed Hyperlink" xfId="1284" builtinId="9" hidden="1"/>
    <cellStyle name="Followed Hyperlink" xfId="1368" builtinId="9" hidden="1"/>
    <cellStyle name="Followed Hyperlink" xfId="1452" builtinId="9" hidden="1"/>
    <cellStyle name="Followed Hyperlink" xfId="1537" builtinId="9" hidden="1"/>
    <cellStyle name="Followed Hyperlink" xfId="1621" builtinId="9" hidden="1"/>
    <cellStyle name="Followed Hyperlink" xfId="1705" builtinId="9" hidden="1"/>
    <cellStyle name="Followed Hyperlink" xfId="1791" builtinId="9" hidden="1"/>
    <cellStyle name="Followed Hyperlink" xfId="1645" builtinId="9" hidden="1"/>
    <cellStyle name="Followed Hyperlink" xfId="1392" builtinId="9" hidden="1"/>
    <cellStyle name="Followed Hyperlink" xfId="1131" builtinId="9" hidden="1"/>
    <cellStyle name="Followed Hyperlink" xfId="819" builtinId="9" hidden="1"/>
    <cellStyle name="Followed Hyperlink" xfId="891" builtinId="9" hidden="1"/>
    <cellStyle name="Followed Hyperlink" xfId="966" builtinId="9" hidden="1"/>
    <cellStyle name="Followed Hyperlink" xfId="807" builtinId="9" hidden="1"/>
    <cellStyle name="Followed Hyperlink" xfId="755" builtinId="9" hidden="1"/>
    <cellStyle name="Followed Hyperlink" xfId="683" builtinId="9" hidden="1"/>
    <cellStyle name="Followed Hyperlink" xfId="643" builtinId="9" hidden="1"/>
    <cellStyle name="Followed Hyperlink" xfId="743" builtinId="9" hidden="1"/>
    <cellStyle name="Followed Hyperlink" xfId="715" builtinId="9" hidden="1"/>
    <cellStyle name="Followed Hyperlink" xfId="999" builtinId="9" hidden="1"/>
    <cellStyle name="Followed Hyperlink" xfId="926" builtinId="9" hidden="1"/>
    <cellStyle name="Followed Hyperlink" xfId="851" builtinId="9" hidden="1"/>
    <cellStyle name="Followed Hyperlink" xfId="1019" builtinId="9" hidden="1"/>
    <cellStyle name="Followed Hyperlink" xfId="1280" builtinId="9" hidden="1"/>
    <cellStyle name="Followed Hyperlink" xfId="1533" builtinId="9" hidden="1"/>
    <cellStyle name="Followed Hyperlink" xfId="897" builtinId="9" hidden="1"/>
    <cellStyle name="Followed Hyperlink" xfId="1745" builtinId="9" hidden="1"/>
    <cellStyle name="Followed Hyperlink" xfId="1657" builtinId="9" hidden="1"/>
    <cellStyle name="Followed Hyperlink" xfId="1573" builtinId="9" hidden="1"/>
    <cellStyle name="Followed Hyperlink" xfId="1492" builtinId="9" hidden="1"/>
    <cellStyle name="Followed Hyperlink" xfId="1404" builtinId="9" hidden="1"/>
    <cellStyle name="Followed Hyperlink" xfId="1320" builtinId="9" hidden="1"/>
    <cellStyle name="Followed Hyperlink" xfId="1235" builtinId="9" hidden="1"/>
    <cellStyle name="Followed Hyperlink" xfId="1143" builtinId="9" hidden="1"/>
    <cellStyle name="Followed Hyperlink" xfId="1059" builtinId="9" hidden="1"/>
    <cellStyle name="Followed Hyperlink" xfId="1875" builtinId="9" hidden="1"/>
    <cellStyle name="Followed Hyperlink" xfId="2003" builtinId="9" hidden="1"/>
    <cellStyle name="Followed Hyperlink" xfId="2134" builtinId="9" hidden="1"/>
    <cellStyle name="Followed Hyperlink" xfId="2263" builtinId="9" hidden="1"/>
    <cellStyle name="Followed Hyperlink" xfId="2388" builtinId="9" hidden="1"/>
    <cellStyle name="Followed Hyperlink" xfId="2516" builtinId="9" hidden="1"/>
    <cellStyle name="Followed Hyperlink" xfId="2644" builtinId="9" hidden="1"/>
    <cellStyle name="Followed Hyperlink" xfId="2774" builtinId="9" hidden="1"/>
    <cellStyle name="Followed Hyperlink" xfId="2902" builtinId="9" hidden="1"/>
    <cellStyle name="Followed Hyperlink" xfId="3036" builtinId="9" hidden="1"/>
    <cellStyle name="Followed Hyperlink" xfId="3165" builtinId="9" hidden="1"/>
    <cellStyle name="Followed Hyperlink" xfId="3290" builtinId="9" hidden="1"/>
    <cellStyle name="Followed Hyperlink" xfId="3418" builtinId="9" hidden="1"/>
    <cellStyle name="Followed Hyperlink" xfId="3546" builtinId="9" hidden="1"/>
    <cellStyle name="Followed Hyperlink" xfId="3675" builtinId="9" hidden="1"/>
    <cellStyle name="Followed Hyperlink" xfId="3803" builtinId="9" hidden="1"/>
    <cellStyle name="Followed Hyperlink" xfId="3935" builtinId="9" hidden="1"/>
    <cellStyle name="Followed Hyperlink" xfId="4064" builtinId="9" hidden="1"/>
    <cellStyle name="Followed Hyperlink" xfId="4189" builtinId="9" hidden="1"/>
    <cellStyle name="Followed Hyperlink" xfId="4317" builtinId="9" hidden="1"/>
    <cellStyle name="Followed Hyperlink" xfId="4445" builtinId="9" hidden="1"/>
    <cellStyle name="Followed Hyperlink" xfId="4566" builtinId="9" hidden="1"/>
    <cellStyle name="Followed Hyperlink" xfId="4694" builtinId="9" hidden="1"/>
    <cellStyle name="Followed Hyperlink" xfId="4828" builtinId="9" hidden="1"/>
    <cellStyle name="Followed Hyperlink" xfId="4957" builtinId="9" hidden="1"/>
    <cellStyle name="Followed Hyperlink" xfId="5082" builtinId="9" hidden="1"/>
    <cellStyle name="Followed Hyperlink" xfId="5210" builtinId="9" hidden="1"/>
    <cellStyle name="Followed Hyperlink" xfId="5338" builtinId="9" hidden="1"/>
    <cellStyle name="Followed Hyperlink" xfId="5468" builtinId="9" hidden="1"/>
    <cellStyle name="Followed Hyperlink" xfId="5596" builtinId="9" hidden="1"/>
    <cellStyle name="Followed Hyperlink" xfId="5728" builtinId="9" hidden="1"/>
    <cellStyle name="Followed Hyperlink" xfId="5856" builtinId="9" hidden="1"/>
    <cellStyle name="Followed Hyperlink" xfId="5981" builtinId="9" hidden="1"/>
    <cellStyle name="Followed Hyperlink" xfId="6109" builtinId="9" hidden="1"/>
    <cellStyle name="Followed Hyperlink" xfId="4751" builtinId="9" hidden="1"/>
    <cellStyle name="Followed Hyperlink" xfId="6355" builtinId="9" hidden="1"/>
    <cellStyle name="Followed Hyperlink" xfId="6483" builtinId="9" hidden="1"/>
    <cellStyle name="Followed Hyperlink" xfId="6614" builtinId="9" hidden="1"/>
    <cellStyle name="Followed Hyperlink" xfId="6742" builtinId="9" hidden="1"/>
    <cellStyle name="Followed Hyperlink" xfId="6867" builtinId="9" hidden="1"/>
    <cellStyle name="Followed Hyperlink" xfId="6995" builtinId="9" hidden="1"/>
    <cellStyle name="Followed Hyperlink" xfId="7123" builtinId="9" hidden="1"/>
    <cellStyle name="Followed Hyperlink" xfId="7251" builtinId="9" hidden="1"/>
    <cellStyle name="Followed Hyperlink" xfId="7379" builtinId="9" hidden="1"/>
    <cellStyle name="Followed Hyperlink" xfId="7510" builtinId="9" hidden="1"/>
    <cellStyle name="Followed Hyperlink" xfId="7638" builtinId="9" hidden="1"/>
    <cellStyle name="Followed Hyperlink" xfId="7763" builtinId="9" hidden="1"/>
    <cellStyle name="Followed Hyperlink" xfId="7891" builtinId="9" hidden="1"/>
    <cellStyle name="Followed Hyperlink" xfId="7985" builtinId="9" hidden="1"/>
    <cellStyle name="Followed Hyperlink" xfId="7857" builtinId="9" hidden="1"/>
    <cellStyle name="Followed Hyperlink" xfId="7729" builtinId="9" hidden="1"/>
    <cellStyle name="Followed Hyperlink" xfId="7604" builtinId="9" hidden="1"/>
    <cellStyle name="Followed Hyperlink" xfId="7475" builtinId="9" hidden="1"/>
    <cellStyle name="Followed Hyperlink" xfId="7345" builtinId="9" hidden="1"/>
    <cellStyle name="Followed Hyperlink" xfId="7217" builtinId="9" hidden="1"/>
    <cellStyle name="Followed Hyperlink" xfId="7089" builtinId="9" hidden="1"/>
    <cellStyle name="Followed Hyperlink" xfId="6961" builtinId="9" hidden="1"/>
    <cellStyle name="Followed Hyperlink" xfId="6833" builtinId="9" hidden="1"/>
    <cellStyle name="Followed Hyperlink" xfId="6708" builtinId="9" hidden="1"/>
    <cellStyle name="Followed Hyperlink" xfId="6579" builtinId="9" hidden="1"/>
    <cellStyle name="Followed Hyperlink" xfId="6449" builtinId="9" hidden="1"/>
    <cellStyle name="Followed Hyperlink" xfId="6321" builtinId="9" hidden="1"/>
    <cellStyle name="Followed Hyperlink" xfId="6203" builtinId="9" hidden="1"/>
    <cellStyle name="Followed Hyperlink" xfId="6075" builtinId="9" hidden="1"/>
    <cellStyle name="Followed Hyperlink" xfId="5947" builtinId="9" hidden="1"/>
    <cellStyle name="Followed Hyperlink" xfId="5822" builtinId="9" hidden="1"/>
    <cellStyle name="Followed Hyperlink" xfId="5693" builtinId="9" hidden="1"/>
    <cellStyle name="Followed Hyperlink" xfId="5562" builtinId="9" hidden="1"/>
    <cellStyle name="Followed Hyperlink" xfId="5434" builtinId="9" hidden="1"/>
    <cellStyle name="Followed Hyperlink" xfId="5304" builtinId="9" hidden="1"/>
    <cellStyle name="Followed Hyperlink" xfId="5176" builtinId="9" hidden="1"/>
    <cellStyle name="Followed Hyperlink" xfId="5051" builtinId="9" hidden="1"/>
    <cellStyle name="Followed Hyperlink" xfId="4923" builtinId="9" hidden="1"/>
    <cellStyle name="Followed Hyperlink" xfId="4794" builtinId="9" hidden="1"/>
    <cellStyle name="Followed Hyperlink" xfId="4660" builtinId="9" hidden="1"/>
    <cellStyle name="Followed Hyperlink" xfId="4532" builtinId="9" hidden="1"/>
    <cellStyle name="Followed Hyperlink" xfId="4411" builtinId="9" hidden="1"/>
    <cellStyle name="Followed Hyperlink" xfId="4283" builtinId="9" hidden="1"/>
    <cellStyle name="Followed Hyperlink" xfId="4158" builtinId="9" hidden="1"/>
    <cellStyle name="Followed Hyperlink" xfId="4030" builtinId="9" hidden="1"/>
    <cellStyle name="Followed Hyperlink" xfId="3901" builtinId="9" hidden="1"/>
    <cellStyle name="Followed Hyperlink" xfId="3769" builtinId="9" hidden="1"/>
    <cellStyle name="Followed Hyperlink" xfId="3641" builtinId="9" hidden="1"/>
    <cellStyle name="Followed Hyperlink" xfId="3512" builtinId="9" hidden="1"/>
    <cellStyle name="Followed Hyperlink" xfId="3384" builtinId="9" hidden="1"/>
    <cellStyle name="Followed Hyperlink" xfId="3259" builtinId="9" hidden="1"/>
    <cellStyle name="Followed Hyperlink" xfId="3131" builtinId="9" hidden="1"/>
    <cellStyle name="Followed Hyperlink" xfId="3002" builtinId="9" hidden="1"/>
    <cellStyle name="Followed Hyperlink" xfId="2868" builtinId="9" hidden="1"/>
    <cellStyle name="Followed Hyperlink" xfId="2738" builtinId="9" hidden="1"/>
    <cellStyle name="Followed Hyperlink" xfId="2610" builtinId="9" hidden="1"/>
    <cellStyle name="Followed Hyperlink" xfId="2482" builtinId="9" hidden="1"/>
    <cellStyle name="Followed Hyperlink" xfId="2357" builtinId="9" hidden="1"/>
    <cellStyle name="Followed Hyperlink" xfId="2229" builtinId="9" hidden="1"/>
    <cellStyle name="Followed Hyperlink" xfId="2100" builtinId="9" hidden="1"/>
    <cellStyle name="Followed Hyperlink" xfId="1969" builtinId="9" hidden="1"/>
    <cellStyle name="Followed Hyperlink" xfId="1841" builtinId="9" hidden="1"/>
    <cellStyle name="Followed Hyperlink" xfId="1715" builtinId="9" hidden="1"/>
    <cellStyle name="Followed Hyperlink" xfId="1587" builtinId="9" hidden="1"/>
    <cellStyle name="Followed Hyperlink" xfId="1462" builtinId="9" hidden="1"/>
    <cellStyle name="Followed Hyperlink" xfId="1334" builtinId="9" hidden="1"/>
    <cellStyle name="Followed Hyperlink" xfId="1205" builtinId="9" hidden="1"/>
    <cellStyle name="Followed Hyperlink" xfId="1073" builtinId="9" hidden="1"/>
    <cellStyle name="Followed Hyperlink" xfId="944" builtinId="9" hidden="1"/>
    <cellStyle name="Followed Hyperlink" xfId="813" builtinId="9" hidden="1"/>
    <cellStyle name="Followed Hyperlink" xfId="685" builtinId="9" hidden="1"/>
    <cellStyle name="Followed Hyperlink" xfId="236" builtinId="9" hidden="1"/>
    <cellStyle name="Followed Hyperlink" xfId="327" builtinId="9" hidden="1"/>
    <cellStyle name="Followed Hyperlink" xfId="414" builtinId="9" hidden="1"/>
    <cellStyle name="Followed Hyperlink" xfId="498" builtinId="9" hidden="1"/>
    <cellStyle name="Followed Hyperlink" xfId="584" builtinId="9" hidden="1"/>
    <cellStyle name="Followed Hyperlink" xfId="436" builtinId="9" hidden="1"/>
    <cellStyle name="Followed Hyperlink" xfId="96" builtinId="9" hidden="1"/>
    <cellStyle name="Followed Hyperlink" xfId="170" builtinId="9" hidden="1"/>
    <cellStyle name="Followed Hyperlink" xfId="62" builtinId="9" hidden="1"/>
    <cellStyle name="Followed Hyperlink" xfId="2" builtinId="9" hidden="1"/>
    <cellStyle name="Followed Hyperlink" xfId="64" builtinId="9" hidden="1"/>
    <cellStyle name="Followed Hyperlink" xfId="172" builtinId="9" hidden="1"/>
    <cellStyle name="Followed Hyperlink" xfId="98" builtinId="9" hidden="1"/>
    <cellStyle name="Followed Hyperlink" xfId="428" builtinId="9" hidden="1"/>
    <cellStyle name="Followed Hyperlink" xfId="586" builtinId="9" hidden="1"/>
    <cellStyle name="Followed Hyperlink" xfId="502" builtinId="9" hidden="1"/>
    <cellStyle name="Followed Hyperlink" xfId="416" builtinId="9" hidden="1"/>
    <cellStyle name="Followed Hyperlink" xfId="329" builtinId="9" hidden="1"/>
    <cellStyle name="Followed Hyperlink" xfId="240" builtinId="9" hidden="1"/>
    <cellStyle name="Followed Hyperlink" xfId="681" builtinId="9" hidden="1"/>
    <cellStyle name="Followed Hyperlink" xfId="809" builtinId="9" hidden="1"/>
    <cellStyle name="Followed Hyperlink" xfId="940" builtinId="9" hidden="1"/>
    <cellStyle name="Followed Hyperlink" xfId="1069" builtinId="9" hidden="1"/>
    <cellStyle name="Followed Hyperlink" xfId="1201" builtinId="9" hidden="1"/>
    <cellStyle name="Followed Hyperlink" xfId="1330" builtinId="9" hidden="1"/>
    <cellStyle name="Followed Hyperlink" xfId="1458" builtinId="9" hidden="1"/>
    <cellStyle name="Followed Hyperlink" xfId="1583" builtinId="9" hidden="1"/>
    <cellStyle name="Followed Hyperlink" xfId="1711" builtinId="9" hidden="1"/>
    <cellStyle name="Followed Hyperlink" xfId="1837" builtinId="9" hidden="1"/>
    <cellStyle name="Followed Hyperlink" xfId="1965" builtinId="9" hidden="1"/>
    <cellStyle name="Followed Hyperlink" xfId="2096" builtinId="9" hidden="1"/>
    <cellStyle name="Followed Hyperlink" xfId="2225" builtinId="9" hidden="1"/>
    <cellStyle name="Followed Hyperlink" xfId="2353" builtinId="9" hidden="1"/>
    <cellStyle name="Followed Hyperlink" xfId="2478" builtinId="9" hidden="1"/>
    <cellStyle name="Followed Hyperlink" xfId="2606" builtinId="9" hidden="1"/>
    <cellStyle name="Followed Hyperlink" xfId="2734" builtinId="9" hidden="1"/>
    <cellStyle name="Followed Hyperlink" xfId="2864" builtinId="9" hidden="1"/>
    <cellStyle name="Followed Hyperlink" xfId="2998" builtinId="9" hidden="1"/>
    <cellStyle name="Followed Hyperlink" xfId="3127" builtinId="9" hidden="1"/>
    <cellStyle name="Followed Hyperlink" xfId="3255" builtinId="9" hidden="1"/>
    <cellStyle name="Followed Hyperlink" xfId="3380" builtinId="9" hidden="1"/>
    <cellStyle name="Followed Hyperlink" xfId="3508" builtinId="9" hidden="1"/>
    <cellStyle name="Followed Hyperlink" xfId="3637" builtinId="9" hidden="1"/>
    <cellStyle name="Followed Hyperlink" xfId="3765" builtinId="9" hidden="1"/>
    <cellStyle name="Followed Hyperlink" xfId="3897" builtinId="9" hidden="1"/>
    <cellStyle name="Followed Hyperlink" xfId="4026" builtinId="9" hidden="1"/>
    <cellStyle name="Followed Hyperlink" xfId="4154" builtinId="9" hidden="1"/>
    <cellStyle name="Followed Hyperlink" xfId="4279" builtinId="9" hidden="1"/>
    <cellStyle name="Followed Hyperlink" xfId="4407" builtinId="9" hidden="1"/>
    <cellStyle name="Followed Hyperlink" xfId="4528" builtinId="9" hidden="1"/>
    <cellStyle name="Followed Hyperlink" xfId="4656" builtinId="9" hidden="1"/>
    <cellStyle name="Followed Hyperlink" xfId="4790" builtinId="9" hidden="1"/>
    <cellStyle name="Followed Hyperlink" xfId="4919" builtinId="9" hidden="1"/>
    <cellStyle name="Followed Hyperlink" xfId="5047" builtinId="9" hidden="1"/>
    <cellStyle name="Followed Hyperlink" xfId="5172" builtinId="9" hidden="1"/>
    <cellStyle name="Followed Hyperlink" xfId="5300" builtinId="9" hidden="1"/>
    <cellStyle name="Followed Hyperlink" xfId="5430" builtinId="9" hidden="1"/>
    <cellStyle name="Followed Hyperlink" xfId="5558" builtinId="9" hidden="1"/>
    <cellStyle name="Followed Hyperlink" xfId="5689" builtinId="9" hidden="1"/>
    <cellStyle name="Followed Hyperlink" xfId="5818" builtinId="9" hidden="1"/>
    <cellStyle name="Followed Hyperlink" xfId="5646" builtinId="9" hidden="1"/>
    <cellStyle name="Followed Hyperlink" xfId="6071" builtinId="9" hidden="1"/>
    <cellStyle name="Followed Hyperlink" xfId="6199" builtinId="9" hidden="1"/>
    <cellStyle name="Followed Hyperlink" xfId="6317" builtinId="9" hidden="1"/>
    <cellStyle name="Followed Hyperlink" xfId="6445" builtinId="9" hidden="1"/>
    <cellStyle name="Followed Hyperlink" xfId="6575" builtinId="9" hidden="1"/>
    <cellStyle name="Followed Hyperlink" xfId="6704" builtinId="9" hidden="1"/>
    <cellStyle name="Followed Hyperlink" xfId="6829" builtinId="9" hidden="1"/>
    <cellStyle name="Followed Hyperlink" xfId="6957" builtinId="9" hidden="1"/>
    <cellStyle name="Followed Hyperlink" xfId="7085" builtinId="9" hidden="1"/>
    <cellStyle name="Followed Hyperlink" xfId="7213" builtinId="9" hidden="1"/>
    <cellStyle name="Followed Hyperlink" xfId="7341" builtinId="9" hidden="1"/>
    <cellStyle name="Followed Hyperlink" xfId="7471" builtinId="9" hidden="1"/>
    <cellStyle name="Followed Hyperlink" xfId="7600" builtinId="9" hidden="1"/>
    <cellStyle name="Followed Hyperlink" xfId="7725" builtinId="9" hidden="1"/>
    <cellStyle name="Followed Hyperlink" xfId="7853" builtinId="9" hidden="1"/>
    <cellStyle name="Followed Hyperlink" xfId="7981" builtinId="9" hidden="1"/>
    <cellStyle name="Followed Hyperlink" xfId="7895" builtinId="9" hidden="1"/>
    <cellStyle name="Followed Hyperlink" xfId="7767" builtinId="9" hidden="1"/>
    <cellStyle name="Followed Hyperlink" xfId="7642" builtinId="9" hidden="1"/>
    <cellStyle name="Followed Hyperlink" xfId="7514" builtinId="9" hidden="1"/>
    <cellStyle name="Followed Hyperlink" xfId="7383" builtinId="9" hidden="1"/>
    <cellStyle name="Followed Hyperlink" xfId="7255" builtinId="9" hidden="1"/>
    <cellStyle name="Followed Hyperlink" xfId="7127" builtinId="9" hidden="1"/>
    <cellStyle name="Followed Hyperlink" xfId="6999" builtinId="9" hidden="1"/>
    <cellStyle name="Followed Hyperlink" xfId="6871" builtinId="9" hidden="1"/>
    <cellStyle name="Followed Hyperlink" xfId="6746" builtinId="9" hidden="1"/>
    <cellStyle name="Followed Hyperlink" xfId="6618" builtinId="9" hidden="1"/>
    <cellStyle name="Followed Hyperlink" xfId="6487" builtinId="9" hidden="1"/>
    <cellStyle name="Followed Hyperlink" xfId="6359" builtinId="9" hidden="1"/>
    <cellStyle name="Followed Hyperlink" xfId="4525" builtinId="9" hidden="1"/>
    <cellStyle name="Followed Hyperlink" xfId="6113" builtinId="9" hidden="1"/>
    <cellStyle name="Followed Hyperlink" xfId="5985" builtinId="9" hidden="1"/>
    <cellStyle name="Followed Hyperlink" xfId="5860" builtinId="9" hidden="1"/>
    <cellStyle name="Followed Hyperlink" xfId="5732" builtinId="9" hidden="1"/>
    <cellStyle name="Followed Hyperlink" xfId="5600" builtinId="9" hidden="1"/>
    <cellStyle name="Followed Hyperlink" xfId="5472" builtinId="9" hidden="1"/>
    <cellStyle name="Followed Hyperlink" xfId="5342" builtinId="9" hidden="1"/>
    <cellStyle name="Followed Hyperlink" xfId="5214" builtinId="9" hidden="1"/>
    <cellStyle name="Followed Hyperlink" xfId="5086" builtinId="9" hidden="1"/>
    <cellStyle name="Followed Hyperlink" xfId="4961" builtinId="9" hidden="1"/>
    <cellStyle name="Followed Hyperlink" xfId="4833" builtinId="9" hidden="1"/>
    <cellStyle name="Followed Hyperlink" xfId="4698" builtinId="9" hidden="1"/>
    <cellStyle name="Followed Hyperlink" xfId="4570" builtinId="9" hidden="1"/>
    <cellStyle name="Followed Hyperlink" xfId="4449" builtinId="9" hidden="1"/>
    <cellStyle name="Followed Hyperlink" xfId="4321" builtinId="9" hidden="1"/>
    <cellStyle name="Followed Hyperlink" xfId="2648" builtinId="9" hidden="1"/>
    <cellStyle name="Followed Hyperlink" xfId="2736" builtinId="9" hidden="1"/>
    <cellStyle name="Followed Hyperlink" xfId="2818" builtinId="9" hidden="1"/>
    <cellStyle name="Followed Hyperlink" xfId="2906" builtinId="9" hidden="1"/>
    <cellStyle name="Followed Hyperlink" xfId="3000" builtinId="9" hidden="1"/>
    <cellStyle name="Followed Hyperlink" xfId="3081" builtinId="9" hidden="1"/>
    <cellStyle name="Followed Hyperlink" xfId="3169" builtinId="9" hidden="1"/>
    <cellStyle name="Followed Hyperlink" xfId="3257" builtinId="9" hidden="1"/>
    <cellStyle name="Followed Hyperlink" xfId="3334" builtinId="9" hidden="1"/>
    <cellStyle name="Followed Hyperlink" xfId="3422" builtinId="9" hidden="1"/>
    <cellStyle name="Followed Hyperlink" xfId="3510" builtinId="9" hidden="1"/>
    <cellStyle name="Followed Hyperlink" xfId="3591" builtinId="9" hidden="1"/>
    <cellStyle name="Followed Hyperlink" xfId="3679" builtinId="9" hidden="1"/>
    <cellStyle name="Followed Hyperlink" xfId="3767" builtinId="9" hidden="1"/>
    <cellStyle name="Followed Hyperlink" xfId="3847" builtinId="9" hidden="1"/>
    <cellStyle name="Followed Hyperlink" xfId="3939" builtinId="9" hidden="1"/>
    <cellStyle name="Followed Hyperlink" xfId="4028" builtinId="9" hidden="1"/>
    <cellStyle name="Followed Hyperlink" xfId="4108" builtinId="9" hidden="1"/>
    <cellStyle name="Followed Hyperlink" xfId="4193" builtinId="9" hidden="1"/>
    <cellStyle name="Followed Hyperlink" xfId="4116" builtinId="9" hidden="1"/>
    <cellStyle name="Followed Hyperlink" xfId="3855" builtinId="9" hidden="1"/>
    <cellStyle name="Followed Hyperlink" xfId="3599" builtinId="9" hidden="1"/>
    <cellStyle name="Followed Hyperlink" xfId="3342" builtinId="9" hidden="1"/>
    <cellStyle name="Followed Hyperlink" xfId="3089" builtinId="9" hidden="1"/>
    <cellStyle name="Followed Hyperlink" xfId="2826" builtinId="9" hidden="1"/>
    <cellStyle name="Followed Hyperlink" xfId="2179" builtinId="9" hidden="1"/>
    <cellStyle name="Followed Hyperlink" xfId="2251" builtinId="9" hidden="1"/>
    <cellStyle name="Followed Hyperlink" xfId="2323" builtinId="9" hidden="1"/>
    <cellStyle name="Followed Hyperlink" xfId="2392" builtinId="9" hidden="1"/>
    <cellStyle name="Followed Hyperlink" xfId="2464" builtinId="9" hidden="1"/>
    <cellStyle name="Followed Hyperlink" xfId="2544" builtinId="9" hidden="1"/>
    <cellStyle name="Followed Hyperlink" xfId="2616" builtinId="9" hidden="1"/>
    <cellStyle name="Followed Hyperlink" xfId="1983" builtinId="9" hidden="1"/>
    <cellStyle name="Followed Hyperlink" xfId="2047" builtinId="9" hidden="1"/>
    <cellStyle name="Followed Hyperlink" xfId="2122" builtinId="9" hidden="1"/>
    <cellStyle name="Followed Hyperlink" xfId="1903" builtinId="9" hidden="1"/>
    <cellStyle name="Followed Hyperlink" xfId="1975" builtinId="9" hidden="1"/>
    <cellStyle name="Followed Hyperlink" xfId="1847" builtinId="9" hidden="1"/>
    <cellStyle name="Followed Hyperlink" xfId="1879" builtinId="9" hidden="1"/>
    <cellStyle name="Followed Hyperlink" xfId="1943" builtinId="9" hidden="1"/>
    <cellStyle name="Followed Hyperlink" xfId="2163" builtinId="9" hidden="1"/>
    <cellStyle name="Followed Hyperlink" xfId="2098" builtinId="9" hidden="1"/>
    <cellStyle name="Followed Hyperlink" xfId="2023" builtinId="9" hidden="1"/>
    <cellStyle name="Followed Hyperlink" xfId="2347" builtinId="9" hidden="1"/>
    <cellStyle name="Followed Hyperlink" xfId="2584" builtinId="9" hidden="1"/>
    <cellStyle name="Followed Hyperlink" xfId="2512" builtinId="9" hidden="1"/>
    <cellStyle name="Followed Hyperlink" xfId="2440" builtinId="9" hidden="1"/>
    <cellStyle name="Followed Hyperlink" xfId="2371" builtinId="9" hidden="1"/>
    <cellStyle name="Followed Hyperlink" xfId="2299" builtinId="9" hidden="1"/>
    <cellStyle name="Followed Hyperlink" xfId="2227" builtinId="9" hidden="1"/>
    <cellStyle name="Followed Hyperlink" xfId="2664" builtinId="9" hidden="1"/>
    <cellStyle name="Followed Hyperlink" xfId="2922" builtinId="9" hidden="1"/>
    <cellStyle name="Followed Hyperlink" xfId="3185" builtinId="9" hidden="1"/>
    <cellStyle name="Followed Hyperlink" xfId="3438" builtinId="9" hidden="1"/>
    <cellStyle name="Followed Hyperlink" xfId="3695" builtinId="9" hidden="1"/>
    <cellStyle name="Followed Hyperlink" xfId="3956" builtinId="9" hidden="1"/>
    <cellStyle name="Followed Hyperlink" xfId="4209" builtinId="9" hidden="1"/>
    <cellStyle name="Followed Hyperlink" xfId="4164" builtinId="9" hidden="1"/>
    <cellStyle name="Followed Hyperlink" xfId="4076" builtinId="9" hidden="1"/>
    <cellStyle name="Followed Hyperlink" xfId="3996" builtinId="9" hidden="1"/>
    <cellStyle name="Followed Hyperlink" xfId="3907" builtinId="9" hidden="1"/>
    <cellStyle name="Followed Hyperlink" xfId="3815" builtinId="9" hidden="1"/>
    <cellStyle name="Followed Hyperlink" xfId="3735" builtinId="9" hidden="1"/>
    <cellStyle name="Followed Hyperlink" xfId="3647" builtinId="9" hidden="1"/>
    <cellStyle name="Followed Hyperlink" xfId="3558" builtinId="9" hidden="1"/>
    <cellStyle name="Followed Hyperlink" xfId="3478" builtinId="9" hidden="1"/>
    <cellStyle name="Followed Hyperlink" xfId="3390" builtinId="9" hidden="1"/>
    <cellStyle name="Followed Hyperlink" xfId="3302" builtinId="9" hidden="1"/>
    <cellStyle name="Followed Hyperlink" xfId="3225" builtinId="9" hidden="1"/>
    <cellStyle name="Followed Hyperlink" xfId="3137" builtinId="9" hidden="1"/>
    <cellStyle name="Followed Hyperlink" xfId="3048" builtinId="9" hidden="1"/>
    <cellStyle name="Followed Hyperlink" xfId="2962" builtinId="9" hidden="1"/>
    <cellStyle name="Followed Hyperlink" xfId="2874" builtinId="9" hidden="1"/>
    <cellStyle name="Followed Hyperlink" xfId="2786" builtinId="9" hidden="1"/>
    <cellStyle name="Followed Hyperlink" xfId="2704" builtinId="9" hidden="1"/>
    <cellStyle name="Followed Hyperlink" xfId="4241" builtinId="9" hidden="1"/>
    <cellStyle name="Followed Hyperlink" xfId="4369" builtinId="9" hidden="1"/>
    <cellStyle name="Followed Hyperlink" xfId="4488" builtinId="9" hidden="1"/>
    <cellStyle name="Followed Hyperlink" xfId="4618" builtinId="9" hidden="1"/>
    <cellStyle name="Followed Hyperlink" xfId="4746" builtinId="9" hidden="1"/>
    <cellStyle name="Followed Hyperlink" xfId="4881" builtinId="9" hidden="1"/>
    <cellStyle name="Followed Hyperlink" xfId="5009" builtinId="9" hidden="1"/>
    <cellStyle name="Followed Hyperlink" xfId="5134" builtinId="9" hidden="1"/>
    <cellStyle name="Followed Hyperlink" xfId="5262" builtinId="9" hidden="1"/>
    <cellStyle name="Followed Hyperlink" xfId="5392" builtinId="9" hidden="1"/>
    <cellStyle name="Followed Hyperlink" xfId="5520" builtinId="9" hidden="1"/>
    <cellStyle name="Followed Hyperlink" xfId="5651" builtinId="9" hidden="1"/>
    <cellStyle name="Followed Hyperlink" xfId="5780" builtinId="9" hidden="1"/>
    <cellStyle name="Followed Hyperlink" xfId="5908" builtinId="9" hidden="1"/>
    <cellStyle name="Followed Hyperlink" xfId="6033" builtinId="9" hidden="1"/>
    <cellStyle name="Followed Hyperlink" xfId="6161" builtinId="9" hidden="1"/>
    <cellStyle name="Followed Hyperlink" xfId="6279" builtinId="9" hidden="1"/>
    <cellStyle name="Followed Hyperlink" xfId="6407" builtinId="9" hidden="1"/>
    <cellStyle name="Followed Hyperlink" xfId="6537" builtinId="9" hidden="1"/>
    <cellStyle name="Followed Hyperlink" xfId="6666" builtinId="9" hidden="1"/>
    <cellStyle name="Followed Hyperlink" xfId="6794" builtinId="9" hidden="1"/>
    <cellStyle name="Followed Hyperlink" xfId="6919" builtinId="9" hidden="1"/>
    <cellStyle name="Followed Hyperlink" xfId="7047" builtinId="9" hidden="1"/>
    <cellStyle name="Followed Hyperlink" xfId="7175" builtinId="9" hidden="1"/>
    <cellStyle name="Followed Hyperlink" xfId="7303" builtinId="9" hidden="1"/>
    <cellStyle name="Followed Hyperlink" xfId="7433" builtinId="9" hidden="1"/>
    <cellStyle name="Followed Hyperlink" xfId="7562" builtinId="9" hidden="1"/>
    <cellStyle name="Followed Hyperlink" xfId="7690" builtinId="9" hidden="1"/>
    <cellStyle name="Followed Hyperlink" xfId="7815" builtinId="9" hidden="1"/>
    <cellStyle name="Followed Hyperlink" xfId="7943" builtinId="9" hidden="1"/>
    <cellStyle name="Followed Hyperlink" xfId="7933" builtinId="9" hidden="1"/>
    <cellStyle name="Followed Hyperlink" xfId="7805" builtinId="9" hidden="1"/>
    <cellStyle name="Followed Hyperlink" xfId="7680" builtinId="9" hidden="1"/>
    <cellStyle name="Followed Hyperlink" xfId="7552" builtinId="9" hidden="1"/>
    <cellStyle name="Followed Hyperlink" xfId="7423" builtinId="9" hidden="1"/>
    <cellStyle name="Followed Hyperlink" xfId="7293" builtinId="9" hidden="1"/>
    <cellStyle name="Followed Hyperlink" xfId="7165" builtinId="9" hidden="1"/>
    <cellStyle name="Followed Hyperlink" xfId="7037" builtinId="9" hidden="1"/>
    <cellStyle name="Followed Hyperlink" xfId="6909" builtinId="9" hidden="1"/>
    <cellStyle name="Followed Hyperlink" xfId="6784" builtinId="9" hidden="1"/>
    <cellStyle name="Followed Hyperlink" xfId="6656" builtinId="9" hidden="1"/>
    <cellStyle name="Followed Hyperlink" xfId="6527" builtinId="9" hidden="1"/>
    <cellStyle name="Followed Hyperlink" xfId="6397" builtinId="9" hidden="1"/>
    <cellStyle name="Followed Hyperlink" xfId="6269" builtinId="9" hidden="1"/>
    <cellStyle name="Followed Hyperlink" xfId="6151" builtinId="9" hidden="1"/>
    <cellStyle name="Followed Hyperlink" xfId="6023" builtinId="9" hidden="1"/>
    <cellStyle name="Followed Hyperlink" xfId="5898" builtinId="9" hidden="1"/>
    <cellStyle name="Followed Hyperlink" xfId="5770" builtinId="9" hidden="1"/>
    <cellStyle name="Followed Hyperlink" xfId="5638" builtinId="9" hidden="1"/>
    <cellStyle name="Followed Hyperlink" xfId="5510" builtinId="9" hidden="1"/>
    <cellStyle name="Followed Hyperlink" xfId="5382" builtinId="9" hidden="1"/>
    <cellStyle name="Followed Hyperlink" xfId="5252" builtinId="9" hidden="1"/>
    <cellStyle name="Followed Hyperlink" xfId="5124" builtinId="9" hidden="1"/>
    <cellStyle name="Followed Hyperlink" xfId="4999" builtinId="9" hidden="1"/>
    <cellStyle name="Followed Hyperlink" xfId="4871" builtinId="9" hidden="1"/>
    <cellStyle name="Followed Hyperlink" xfId="4736" builtinId="9" hidden="1"/>
    <cellStyle name="Followed Hyperlink" xfId="4608" builtinId="9" hidden="1"/>
    <cellStyle name="Followed Hyperlink" xfId="4478" builtinId="9" hidden="1"/>
    <cellStyle name="Followed Hyperlink" xfId="4359" builtinId="9" hidden="1"/>
    <cellStyle name="Followed Hyperlink" xfId="4231" builtinId="9" hidden="1"/>
    <cellStyle name="Followed Hyperlink" xfId="4106" builtinId="9" hidden="1"/>
    <cellStyle name="Followed Hyperlink" xfId="3978" builtinId="9" hidden="1"/>
    <cellStyle name="Followed Hyperlink" xfId="3845" builtinId="9" hidden="1"/>
    <cellStyle name="Followed Hyperlink" xfId="3717" builtinId="9" hidden="1"/>
    <cellStyle name="Followed Hyperlink" xfId="3589" builtinId="9" hidden="1"/>
    <cellStyle name="Followed Hyperlink" xfId="3460" builtinId="9" hidden="1"/>
    <cellStyle name="Followed Hyperlink" xfId="3332" builtinId="9" hidden="1"/>
    <cellStyle name="Followed Hyperlink" xfId="3207" builtinId="9" hidden="1"/>
    <cellStyle name="Followed Hyperlink" xfId="3079" builtinId="9" hidden="1"/>
    <cellStyle name="Followed Hyperlink" xfId="2944" builtinId="9" hidden="1"/>
    <cellStyle name="Followed Hyperlink" xfId="2816" builtinId="9" hidden="1"/>
    <cellStyle name="Followed Hyperlink" xfId="2686" builtinId="9" hidden="1"/>
    <cellStyle name="Followed Hyperlink" xfId="2558" builtinId="9" hidden="1"/>
    <cellStyle name="Followed Hyperlink" xfId="2430" builtinId="9" hidden="1"/>
    <cellStyle name="Followed Hyperlink" xfId="2305" builtinId="9" hidden="1"/>
    <cellStyle name="Followed Hyperlink" xfId="2177" builtinId="9" hidden="1"/>
    <cellStyle name="Followed Hyperlink" xfId="2045" builtinId="9" hidden="1"/>
    <cellStyle name="Followed Hyperlink" xfId="1917" builtinId="9" hidden="1"/>
    <cellStyle name="Followed Hyperlink" xfId="1789" builtinId="9" hidden="1"/>
    <cellStyle name="Followed Hyperlink" xfId="1663" builtinId="9" hidden="1"/>
    <cellStyle name="Followed Hyperlink" xfId="1535" builtinId="9" hidden="1"/>
    <cellStyle name="Followed Hyperlink" xfId="1410" builtinId="9" hidden="1"/>
    <cellStyle name="Followed Hyperlink" xfId="1282" builtinId="9" hidden="1"/>
    <cellStyle name="Followed Hyperlink" xfId="1149" builtinId="9" hidden="1"/>
    <cellStyle name="Followed Hyperlink" xfId="1021" builtinId="9" hidden="1"/>
    <cellStyle name="Followed Hyperlink" xfId="889" builtinId="9" hidden="1"/>
    <cellStyle name="Followed Hyperlink" xfId="761" builtinId="9" hidden="1"/>
    <cellStyle name="Followed Hyperlink" xfId="633" builtinId="9" hidden="1"/>
    <cellStyle name="Followed Hyperlink" xfId="272" builtinId="9" hidden="1"/>
    <cellStyle name="Followed Hyperlink" xfId="361" builtinId="9" hidden="1"/>
    <cellStyle name="Followed Hyperlink" xfId="448" builtinId="9" hidden="1"/>
    <cellStyle name="Followed Hyperlink" xfId="534" builtinId="9" hidden="1"/>
    <cellStyle name="Followed Hyperlink" xfId="588" builtinId="9" hidden="1"/>
    <cellStyle name="Followed Hyperlink" xfId="331" builtinId="9" hidden="1"/>
    <cellStyle name="Followed Hyperlink" xfId="126" builtinId="9" hidden="1"/>
    <cellStyle name="Followed Hyperlink" xfId="200" builtinId="9" hidden="1"/>
    <cellStyle name="Followed Hyperlink" xfId="20" builtinId="9" hidden="1"/>
    <cellStyle name="Followed Hyperlink" xfId="34" builtinId="9" hidden="1"/>
    <cellStyle name="Followed Hyperlink" xfId="118" builtinId="9" hidden="1"/>
    <cellStyle name="Followed Hyperlink" xfId="142" builtinId="9" hidden="1"/>
    <cellStyle name="Followed Hyperlink" xfId="270" builtinId="9" hidden="1"/>
    <cellStyle name="Followed Hyperlink" xfId="532" builtinId="9" hidden="1"/>
    <cellStyle name="Followed Hyperlink" xfId="552" builtinId="9" hidden="1"/>
    <cellStyle name="Followed Hyperlink" xfId="466" builtinId="9" hidden="1"/>
    <cellStyle name="Followed Hyperlink" xfId="382" builtinId="9" hidden="1"/>
    <cellStyle name="Followed Hyperlink" xfId="290" builtinId="9" hidden="1"/>
    <cellStyle name="Followed Hyperlink" xfId="204" builtinId="9" hidden="1"/>
    <cellStyle name="Followed Hyperlink" xfId="733" builtinId="9" hidden="1"/>
    <cellStyle name="Followed Hyperlink" xfId="861" builtinId="9" hidden="1"/>
    <cellStyle name="Followed Hyperlink" xfId="993" builtinId="9" hidden="1"/>
    <cellStyle name="Followed Hyperlink" xfId="1121" builtinId="9" hidden="1"/>
    <cellStyle name="Followed Hyperlink" xfId="1253" builtinId="9" hidden="1"/>
    <cellStyle name="Followed Hyperlink" xfId="1382" builtinId="9" hidden="1"/>
    <cellStyle name="Followed Hyperlink" xfId="1507" builtinId="9" hidden="1"/>
    <cellStyle name="Followed Hyperlink" xfId="1635" builtinId="9" hidden="1"/>
    <cellStyle name="Followed Hyperlink" xfId="1763" builtinId="9" hidden="1"/>
    <cellStyle name="Followed Hyperlink" xfId="1889" builtinId="9" hidden="1"/>
    <cellStyle name="Followed Hyperlink" xfId="2017" builtinId="9" hidden="1"/>
    <cellStyle name="Followed Hyperlink" xfId="2148" builtinId="9" hidden="1"/>
    <cellStyle name="Followed Hyperlink" xfId="2277" builtinId="9" hidden="1"/>
    <cellStyle name="Followed Hyperlink" xfId="2402" builtinId="9" hidden="1"/>
    <cellStyle name="Followed Hyperlink" xfId="2530" builtinId="9" hidden="1"/>
    <cellStyle name="Followed Hyperlink" xfId="2658" builtinId="9" hidden="1"/>
    <cellStyle name="Followed Hyperlink" xfId="2788" builtinId="9" hidden="1"/>
    <cellStyle name="Followed Hyperlink" xfId="2916" builtinId="9" hidden="1"/>
    <cellStyle name="Followed Hyperlink" xfId="3050" builtinId="9" hidden="1"/>
    <cellStyle name="Followed Hyperlink" xfId="3179" builtinId="9" hidden="1"/>
    <cellStyle name="Followed Hyperlink" xfId="3304" builtinId="9" hidden="1"/>
    <cellStyle name="Followed Hyperlink" xfId="3432" builtinId="9" hidden="1"/>
    <cellStyle name="Followed Hyperlink" xfId="3560" builtinId="9" hidden="1"/>
    <cellStyle name="Followed Hyperlink" xfId="3689" builtinId="9" hidden="1"/>
    <cellStyle name="Followed Hyperlink" xfId="3817" builtinId="9" hidden="1"/>
    <cellStyle name="Followed Hyperlink" xfId="3950" builtinId="9" hidden="1"/>
    <cellStyle name="Followed Hyperlink" xfId="4078" builtinId="9" hidden="1"/>
    <cellStyle name="Followed Hyperlink" xfId="4203" builtinId="9" hidden="1"/>
    <cellStyle name="Followed Hyperlink" xfId="4331" builtinId="9" hidden="1"/>
    <cellStyle name="Followed Hyperlink" xfId="4459" builtinId="9" hidden="1"/>
    <cellStyle name="Followed Hyperlink" xfId="4580" builtinId="9" hidden="1"/>
    <cellStyle name="Followed Hyperlink" xfId="4708" builtinId="9" hidden="1"/>
    <cellStyle name="Followed Hyperlink" xfId="4843" builtinId="9" hidden="1"/>
    <cellStyle name="Followed Hyperlink" xfId="4971" builtinId="9" hidden="1"/>
    <cellStyle name="Followed Hyperlink" xfId="5096" builtinId="9" hidden="1"/>
    <cellStyle name="Followed Hyperlink" xfId="5224" builtinId="9" hidden="1"/>
    <cellStyle name="Followed Hyperlink" xfId="5354" builtinId="9" hidden="1"/>
    <cellStyle name="Followed Hyperlink" xfId="5482" builtinId="9" hidden="1"/>
    <cellStyle name="Followed Hyperlink" xfId="5610" builtinId="9" hidden="1"/>
    <cellStyle name="Followed Hyperlink" xfId="5742" builtinId="9" hidden="1"/>
    <cellStyle name="Followed Hyperlink" xfId="5870" builtinId="9" hidden="1"/>
    <cellStyle name="Followed Hyperlink" xfId="5995" builtinId="9" hidden="1"/>
    <cellStyle name="Followed Hyperlink" xfId="6123" builtinId="9" hidden="1"/>
    <cellStyle name="Followed Hyperlink" xfId="6241" builtinId="9" hidden="1"/>
    <cellStyle name="Followed Hyperlink" xfId="6369" builtinId="9" hidden="1"/>
    <cellStyle name="Followed Hyperlink" xfId="6497" builtinId="9" hidden="1"/>
    <cellStyle name="Followed Hyperlink" xfId="6628" builtinId="9" hidden="1"/>
    <cellStyle name="Followed Hyperlink" xfId="6756" builtinId="9" hidden="1"/>
    <cellStyle name="Followed Hyperlink" xfId="6881" builtinId="9" hidden="1"/>
    <cellStyle name="Followed Hyperlink" xfId="7009" builtinId="9" hidden="1"/>
    <cellStyle name="Followed Hyperlink" xfId="7137" builtinId="9" hidden="1"/>
    <cellStyle name="Followed Hyperlink" xfId="7265" builtinId="9" hidden="1"/>
    <cellStyle name="Followed Hyperlink" xfId="7393" builtinId="9" hidden="1"/>
    <cellStyle name="Followed Hyperlink" xfId="7524" builtinId="9" hidden="1"/>
    <cellStyle name="Followed Hyperlink" xfId="7652" builtinId="9" hidden="1"/>
    <cellStyle name="Followed Hyperlink" xfId="7777" builtinId="9" hidden="1"/>
    <cellStyle name="Followed Hyperlink" xfId="7905" builtinId="9" hidden="1"/>
    <cellStyle name="Followed Hyperlink" xfId="7971" builtinId="9" hidden="1"/>
    <cellStyle name="Followed Hyperlink" xfId="7843" builtinId="9" hidden="1"/>
    <cellStyle name="Followed Hyperlink" xfId="7715" builtinId="9" hidden="1"/>
    <cellStyle name="Followed Hyperlink" xfId="7590" builtinId="9" hidden="1"/>
    <cellStyle name="Followed Hyperlink" xfId="7461" builtinId="9" hidden="1"/>
    <cellStyle name="Followed Hyperlink" xfId="7331" builtinId="9" hidden="1"/>
    <cellStyle name="Followed Hyperlink" xfId="7203" builtinId="9" hidden="1"/>
    <cellStyle name="Followed Hyperlink" xfId="7075" builtinId="9" hidden="1"/>
    <cellStyle name="Followed Hyperlink" xfId="6947" builtinId="9" hidden="1"/>
    <cellStyle name="Followed Hyperlink" xfId="6598" builtinId="9" hidden="1"/>
    <cellStyle name="Followed Hyperlink" xfId="6694" builtinId="9" hidden="1"/>
    <cellStyle name="Followed Hyperlink" xfId="6565" builtinId="9" hidden="1"/>
    <cellStyle name="Followed Hyperlink" xfId="6435" builtinId="9" hidden="1"/>
    <cellStyle name="Followed Hyperlink" xfId="6307" builtinId="9" hidden="1"/>
    <cellStyle name="Followed Hyperlink" xfId="6189" builtinId="9" hidden="1"/>
    <cellStyle name="Followed Hyperlink" xfId="6061" builtinId="9" hidden="1"/>
    <cellStyle name="Followed Hyperlink" xfId="5936" builtinId="9" hidden="1"/>
    <cellStyle name="Followed Hyperlink" xfId="5808" builtinId="9" hidden="1"/>
    <cellStyle name="Followed Hyperlink" xfId="5679" builtinId="9" hidden="1"/>
    <cellStyle name="Followed Hyperlink" xfId="5548" builtinId="9" hidden="1"/>
    <cellStyle name="Followed Hyperlink" xfId="5420" builtinId="9" hidden="1"/>
    <cellStyle name="Followed Hyperlink" xfId="5290" builtinId="9" hidden="1"/>
    <cellStyle name="Followed Hyperlink" xfId="5162" builtinId="9" hidden="1"/>
    <cellStyle name="Followed Hyperlink" xfId="5037" builtinId="9" hidden="1"/>
    <cellStyle name="Followed Hyperlink" xfId="4909" builtinId="9" hidden="1"/>
    <cellStyle name="Followed Hyperlink" xfId="4780" builtinId="9" hidden="1"/>
    <cellStyle name="Followed Hyperlink" xfId="4646" builtinId="9" hidden="1"/>
    <cellStyle name="Followed Hyperlink" xfId="4516" builtinId="9" hidden="1"/>
    <cellStyle name="Followed Hyperlink" xfId="4397" builtinId="9" hidden="1"/>
    <cellStyle name="Followed Hyperlink" xfId="4269" builtinId="9" hidden="1"/>
    <cellStyle name="Followed Hyperlink" xfId="4144" builtinId="9" hidden="1"/>
    <cellStyle name="Followed Hyperlink" xfId="4016" builtinId="9" hidden="1"/>
    <cellStyle name="Followed Hyperlink" xfId="3887" builtinId="9" hidden="1"/>
    <cellStyle name="Followed Hyperlink" xfId="3755" builtinId="9" hidden="1"/>
    <cellStyle name="Followed Hyperlink" xfId="3627" builtinId="9" hidden="1"/>
    <cellStyle name="Followed Hyperlink" xfId="3498" builtinId="9" hidden="1"/>
    <cellStyle name="Followed Hyperlink" xfId="3370" builtinId="9" hidden="1"/>
    <cellStyle name="Followed Hyperlink" xfId="3245" builtinId="9" hidden="1"/>
    <cellStyle name="Followed Hyperlink" xfId="3117" builtinId="9" hidden="1"/>
    <cellStyle name="Followed Hyperlink" xfId="2988" builtinId="9" hidden="1"/>
    <cellStyle name="Followed Hyperlink" xfId="2854" builtinId="9" hidden="1"/>
    <cellStyle name="Followed Hyperlink" xfId="2724" builtinId="9" hidden="1"/>
    <cellStyle name="Followed Hyperlink" xfId="2596" builtinId="9" hidden="1"/>
    <cellStyle name="Followed Hyperlink" xfId="2468" builtinId="9" hidden="1"/>
    <cellStyle name="Followed Hyperlink" xfId="2343" builtinId="9" hidden="1"/>
    <cellStyle name="Followed Hyperlink" xfId="2215" builtinId="9" hidden="1"/>
    <cellStyle name="Followed Hyperlink" xfId="2086" builtinId="9" hidden="1"/>
    <cellStyle name="Followed Hyperlink" xfId="1955" builtinId="9" hidden="1"/>
    <cellStyle name="Followed Hyperlink" xfId="1827" builtinId="9" hidden="1"/>
    <cellStyle name="Followed Hyperlink" xfId="1091" builtinId="9" hidden="1"/>
    <cellStyle name="Followed Hyperlink" xfId="1175" builtinId="9" hidden="1"/>
    <cellStyle name="Followed Hyperlink" xfId="1267" builtinId="9" hidden="1"/>
    <cellStyle name="Followed Hyperlink" xfId="1352" builtinId="9" hidden="1"/>
    <cellStyle name="Followed Hyperlink" xfId="1436" builtinId="9" hidden="1"/>
    <cellStyle name="Followed Hyperlink" xfId="1521" builtinId="9" hidden="1"/>
    <cellStyle name="Followed Hyperlink" xfId="1605" builtinId="9" hidden="1"/>
    <cellStyle name="Followed Hyperlink" xfId="1689" builtinId="9" hidden="1"/>
    <cellStyle name="Followed Hyperlink" xfId="1777" builtinId="9" hidden="1"/>
    <cellStyle name="Followed Hyperlink" xfId="1693" builtinId="9" hidden="1"/>
    <cellStyle name="Followed Hyperlink" xfId="1440" builtinId="9" hidden="1"/>
    <cellStyle name="Followed Hyperlink" xfId="1179" builtinId="9" hidden="1"/>
    <cellStyle name="Followed Hyperlink" xfId="803" builtinId="9" hidden="1"/>
    <cellStyle name="Followed Hyperlink" xfId="879" builtinId="9" hidden="1"/>
    <cellStyle name="Followed Hyperlink" xfId="954" builtinId="9" hidden="1"/>
    <cellStyle name="Followed Hyperlink" xfId="906" builtinId="9" hidden="1"/>
    <cellStyle name="Followed Hyperlink" xfId="739" builtinId="9" hidden="1"/>
    <cellStyle name="Followed Hyperlink" xfId="667" builtinId="9" hidden="1"/>
    <cellStyle name="Followed Hyperlink" xfId="615" builtinId="9" hidden="1"/>
    <cellStyle name="Followed Hyperlink" xfId="655" builtinId="9" hidden="1"/>
    <cellStyle name="Followed Hyperlink" xfId="727" builtinId="9" hidden="1"/>
    <cellStyle name="Followed Hyperlink" xfId="1003" builtinId="9" hidden="1"/>
    <cellStyle name="Followed Hyperlink" xfId="942" builtinId="9" hidden="1"/>
    <cellStyle name="Followed Hyperlink" xfId="863" builtinId="9" hidden="1"/>
    <cellStyle name="Followed Hyperlink" xfId="791" builtinId="9" hidden="1"/>
    <cellStyle name="Followed Hyperlink" xfId="1231" builtinId="9" hidden="1"/>
    <cellStyle name="Followed Hyperlink" xfId="1488" builtinId="9" hidden="1"/>
    <cellStyle name="Followed Hyperlink" xfId="1741" builtinId="9" hidden="1"/>
    <cellStyle name="Followed Hyperlink" xfId="1761" builtinId="9" hidden="1"/>
    <cellStyle name="Followed Hyperlink" xfId="1673" builtinId="9" hidden="1"/>
    <cellStyle name="Followed Hyperlink" xfId="1589" builtinId="9" hidden="1"/>
    <cellStyle name="Followed Hyperlink" xfId="1505" builtinId="9" hidden="1"/>
    <cellStyle name="Followed Hyperlink" xfId="1420" builtinId="9" hidden="1"/>
    <cellStyle name="Followed Hyperlink" xfId="1336" builtinId="9" hidden="1"/>
    <cellStyle name="Followed Hyperlink" xfId="1251" builtinId="9" hidden="1"/>
    <cellStyle name="Followed Hyperlink" xfId="1159" builtinId="9" hidden="1"/>
    <cellStyle name="Followed Hyperlink" xfId="1075" builtinId="9" hidden="1"/>
    <cellStyle name="Followed Hyperlink" xfId="1851" builtinId="9" hidden="1"/>
    <cellStyle name="Followed Hyperlink" xfId="1979" builtinId="9" hidden="1"/>
    <cellStyle name="Followed Hyperlink" xfId="2110" builtinId="9" hidden="1"/>
    <cellStyle name="Followed Hyperlink" xfId="2239" builtinId="9" hidden="1"/>
    <cellStyle name="Followed Hyperlink" xfId="2367" builtinId="9" hidden="1"/>
    <cellStyle name="Followed Hyperlink" xfId="2492" builtinId="9" hidden="1"/>
    <cellStyle name="Followed Hyperlink" xfId="2620" builtinId="9" hidden="1"/>
    <cellStyle name="Followed Hyperlink" xfId="2748" builtinId="9" hidden="1"/>
    <cellStyle name="Followed Hyperlink" xfId="2878" builtinId="9" hidden="1"/>
    <cellStyle name="Followed Hyperlink" xfId="3012" builtinId="9" hidden="1"/>
    <cellStyle name="Followed Hyperlink" xfId="3141" builtinId="9" hidden="1"/>
    <cellStyle name="Followed Hyperlink" xfId="3269" builtinId="9" hidden="1"/>
    <cellStyle name="Followed Hyperlink" xfId="3394" builtinId="9" hidden="1"/>
    <cellStyle name="Followed Hyperlink" xfId="3522" builtinId="9" hidden="1"/>
    <cellStyle name="Followed Hyperlink" xfId="3651" builtinId="9" hidden="1"/>
    <cellStyle name="Followed Hyperlink" xfId="3779" builtinId="9" hidden="1"/>
    <cellStyle name="Followed Hyperlink" xfId="3911" builtinId="9" hidden="1"/>
    <cellStyle name="Followed Hyperlink" xfId="4040" builtinId="9" hidden="1"/>
    <cellStyle name="Followed Hyperlink" xfId="3944" builtinId="9" hidden="1"/>
    <cellStyle name="Followed Hyperlink" xfId="4293" builtinId="9" hidden="1"/>
    <cellStyle name="Followed Hyperlink" xfId="4421" builtinId="9" hidden="1"/>
    <cellStyle name="Followed Hyperlink" xfId="4542" builtinId="9" hidden="1"/>
    <cellStyle name="Followed Hyperlink" xfId="4670" builtinId="9" hidden="1"/>
    <cellStyle name="Followed Hyperlink" xfId="4804" builtinId="9" hidden="1"/>
    <cellStyle name="Followed Hyperlink" xfId="4933" builtinId="9" hidden="1"/>
    <cellStyle name="Followed Hyperlink" xfId="5058" builtinId="9" hidden="1"/>
    <cellStyle name="Followed Hyperlink" xfId="5186" builtinId="9" hidden="1"/>
    <cellStyle name="Followed Hyperlink" xfId="5314" builtinId="9" hidden="1"/>
    <cellStyle name="Followed Hyperlink" xfId="5444" builtinId="9" hidden="1"/>
    <cellStyle name="Followed Hyperlink" xfId="5572" builtinId="9" hidden="1"/>
    <cellStyle name="Followed Hyperlink" xfId="5703" builtinId="9" hidden="1"/>
    <cellStyle name="Followed Hyperlink" xfId="5832" builtinId="9" hidden="1"/>
    <cellStyle name="Followed Hyperlink" xfId="5957" builtinId="9" hidden="1"/>
    <cellStyle name="Followed Hyperlink" xfId="6085" builtinId="9" hidden="1"/>
    <cellStyle name="Followed Hyperlink" xfId="6213" builtinId="9" hidden="1"/>
    <cellStyle name="Followed Hyperlink" xfId="6331" builtinId="9" hidden="1"/>
    <cellStyle name="Followed Hyperlink" xfId="6459" builtinId="9" hidden="1"/>
    <cellStyle name="Followed Hyperlink" xfId="6589" builtinId="9" hidden="1"/>
    <cellStyle name="Followed Hyperlink" xfId="6718" builtinId="9" hidden="1"/>
    <cellStyle name="Followed Hyperlink" xfId="6843" builtinId="9" hidden="1"/>
    <cellStyle name="Followed Hyperlink" xfId="6971" builtinId="9" hidden="1"/>
    <cellStyle name="Followed Hyperlink" xfId="7099" builtinId="9" hidden="1"/>
    <cellStyle name="Followed Hyperlink" xfId="7227" builtinId="9" hidden="1"/>
    <cellStyle name="Followed Hyperlink" xfId="7355" builtinId="9" hidden="1"/>
    <cellStyle name="Followed Hyperlink" xfId="7485" builtinId="9" hidden="1"/>
    <cellStyle name="Followed Hyperlink" xfId="7614" builtinId="9" hidden="1"/>
    <cellStyle name="Followed Hyperlink" xfId="7739" builtinId="9" hidden="1"/>
    <cellStyle name="Followed Hyperlink" xfId="7867" builtinId="9" hidden="1"/>
    <cellStyle name="Followed Hyperlink" xfId="7995" builtinId="9" hidden="1"/>
    <cellStyle name="Followed Hyperlink" xfId="7881" builtinId="9" hidden="1"/>
    <cellStyle name="Followed Hyperlink" xfId="7753" builtinId="9" hidden="1"/>
    <cellStyle name="Followed Hyperlink" xfId="7628" builtinId="9" hidden="1"/>
    <cellStyle name="Followed Hyperlink" xfId="7500" builtinId="9" hidden="1"/>
    <cellStyle name="Followed Hyperlink" xfId="7369" builtinId="9" hidden="1"/>
    <cellStyle name="Followed Hyperlink" xfId="7241" builtinId="9" hidden="1"/>
    <cellStyle name="Followed Hyperlink" xfId="7113" builtinId="9" hidden="1"/>
    <cellStyle name="Followed Hyperlink" xfId="6985" builtinId="9" hidden="1"/>
    <cellStyle name="Followed Hyperlink" xfId="6857" builtinId="9" hidden="1"/>
    <cellStyle name="Followed Hyperlink" xfId="6732" builtinId="9" hidden="1"/>
    <cellStyle name="Followed Hyperlink" xfId="6604" builtinId="9" hidden="1"/>
    <cellStyle name="Followed Hyperlink" xfId="6473" builtinId="9" hidden="1"/>
    <cellStyle name="Followed Hyperlink" xfId="6345" builtinId="9" hidden="1"/>
    <cellStyle name="Followed Hyperlink" xfId="6227" builtinId="9" hidden="1"/>
    <cellStyle name="Followed Hyperlink" xfId="6099" builtinId="9" hidden="1"/>
    <cellStyle name="Followed Hyperlink" xfId="5971" builtinId="9" hidden="1"/>
    <cellStyle name="Followed Hyperlink" xfId="5846" builtinId="9" hidden="1"/>
    <cellStyle name="Followed Hyperlink" xfId="5717" builtinId="9" hidden="1"/>
    <cellStyle name="Followed Hyperlink" xfId="5586" builtinId="9" hidden="1"/>
    <cellStyle name="Followed Hyperlink" xfId="5458" builtinId="9" hidden="1"/>
    <cellStyle name="Followed Hyperlink" xfId="5328" builtinId="9" hidden="1"/>
    <cellStyle name="Followed Hyperlink" xfId="5200" builtinId="9" hidden="1"/>
    <cellStyle name="Followed Hyperlink" xfId="5072" builtinId="9" hidden="1"/>
    <cellStyle name="Followed Hyperlink" xfId="4947" builtinId="9" hidden="1"/>
    <cellStyle name="Followed Hyperlink" xfId="4818" builtinId="9" hidden="1"/>
    <cellStyle name="Followed Hyperlink" xfId="4684" builtinId="9" hidden="1"/>
    <cellStyle name="Followed Hyperlink" xfId="4556" builtinId="9" hidden="1"/>
    <cellStyle name="Followed Hyperlink" xfId="4435" builtinId="9" hidden="1"/>
    <cellStyle name="Followed Hyperlink" xfId="4307" builtinId="9" hidden="1"/>
    <cellStyle name="Followed Hyperlink" xfId="4179" builtinId="9" hidden="1"/>
    <cellStyle name="Followed Hyperlink" xfId="4054" builtinId="9" hidden="1"/>
    <cellStyle name="Followed Hyperlink" xfId="3925" builtinId="9" hidden="1"/>
    <cellStyle name="Followed Hyperlink" xfId="3793" builtinId="9" hidden="1"/>
    <cellStyle name="Followed Hyperlink" xfId="3665" builtinId="9" hidden="1"/>
    <cellStyle name="Followed Hyperlink" xfId="3536" builtinId="9" hidden="1"/>
    <cellStyle name="Followed Hyperlink" xfId="3408" builtinId="9" hidden="1"/>
    <cellStyle name="Followed Hyperlink" xfId="3280" builtinId="9" hidden="1"/>
    <cellStyle name="Followed Hyperlink" xfId="3155" builtinId="9" hidden="1"/>
    <cellStyle name="Followed Hyperlink" xfId="3026" builtinId="9" hidden="1"/>
    <cellStyle name="Followed Hyperlink" xfId="2892" builtinId="9" hidden="1"/>
    <cellStyle name="Followed Hyperlink" xfId="2764" builtinId="9" hidden="1"/>
    <cellStyle name="Followed Hyperlink" xfId="2634" builtinId="9" hidden="1"/>
    <cellStyle name="Followed Hyperlink" xfId="2506" builtinId="9" hidden="1"/>
    <cellStyle name="Followed Hyperlink" xfId="2381" builtinId="9" hidden="1"/>
    <cellStyle name="Followed Hyperlink" xfId="2253" builtinId="9" hidden="1"/>
    <cellStyle name="Followed Hyperlink" xfId="2124" builtinId="9" hidden="1"/>
    <cellStyle name="Followed Hyperlink" xfId="1993" builtinId="9" hidden="1"/>
    <cellStyle name="Followed Hyperlink" xfId="1865" builtinId="9" hidden="1"/>
    <cellStyle name="Followed Hyperlink" xfId="1739" builtinId="9" hidden="1"/>
    <cellStyle name="Followed Hyperlink" xfId="1611" builtinId="9" hidden="1"/>
    <cellStyle name="Followed Hyperlink" xfId="3645" builtinId="9" hidden="1"/>
    <cellStyle name="Followed Hyperlink" xfId="3581" builtinId="9" hidden="1"/>
    <cellStyle name="Followed Hyperlink" xfId="3484" builtinId="9" hidden="1"/>
    <cellStyle name="Followed Hyperlink" xfId="3388" builtinId="9" hidden="1"/>
    <cellStyle name="Followed Hyperlink" xfId="3324" builtinId="9" hidden="1"/>
    <cellStyle name="Followed Hyperlink" xfId="3231" builtinId="9" hidden="1"/>
    <cellStyle name="Followed Hyperlink" xfId="3135" builtinId="9" hidden="1"/>
    <cellStyle name="Followed Hyperlink" xfId="3071" builtinId="9" hidden="1"/>
    <cellStyle name="Followed Hyperlink" xfId="2968" builtinId="9" hidden="1"/>
    <cellStyle name="Followed Hyperlink" xfId="2872" builtinId="9" hidden="1"/>
    <cellStyle name="Followed Hyperlink" xfId="2808" builtinId="9" hidden="1"/>
    <cellStyle name="Followed Hyperlink" xfId="2710" builtinId="9" hidden="1"/>
    <cellStyle name="Followed Hyperlink" xfId="2614" builtinId="9" hidden="1"/>
    <cellStyle name="Followed Hyperlink" xfId="2550" builtinId="9" hidden="1"/>
    <cellStyle name="Followed Hyperlink" xfId="2454" builtinId="9" hidden="1"/>
    <cellStyle name="Followed Hyperlink" xfId="2361" builtinId="9" hidden="1"/>
    <cellStyle name="Followed Hyperlink" xfId="2297" builtinId="9" hidden="1"/>
    <cellStyle name="Followed Hyperlink" xfId="2201" builtinId="9" hidden="1"/>
    <cellStyle name="Followed Hyperlink" xfId="2104" builtinId="9" hidden="1"/>
    <cellStyle name="Followed Hyperlink" xfId="2037" builtinId="9" hidden="1"/>
    <cellStyle name="Followed Hyperlink" xfId="1941" builtinId="9" hidden="1"/>
    <cellStyle name="Followed Hyperlink" xfId="1845" builtinId="9" hidden="1"/>
    <cellStyle name="Followed Hyperlink" xfId="1783" builtinId="9" hidden="1"/>
    <cellStyle name="Followed Hyperlink" xfId="1687" builtinId="9" hidden="1"/>
    <cellStyle name="Followed Hyperlink" xfId="1591" builtinId="9" hidden="1"/>
    <cellStyle name="Followed Hyperlink" xfId="1527" builtinId="9" hidden="1"/>
    <cellStyle name="Followed Hyperlink" xfId="1434" builtinId="9" hidden="1"/>
    <cellStyle name="Followed Hyperlink" xfId="1338" builtinId="9" hidden="1"/>
    <cellStyle name="Followed Hyperlink" xfId="1274" builtinId="9" hidden="1"/>
    <cellStyle name="Followed Hyperlink" xfId="1173" builtinId="9" hidden="1"/>
    <cellStyle name="Followed Hyperlink" xfId="1077" builtinId="9" hidden="1"/>
    <cellStyle name="Followed Hyperlink" xfId="1013" builtinId="9" hidden="1"/>
    <cellStyle name="Followed Hyperlink" xfId="916" builtinId="9" hidden="1"/>
    <cellStyle name="Followed Hyperlink" xfId="817" builtinId="9" hidden="1"/>
    <cellStyle name="Followed Hyperlink" xfId="753" builtinId="9" hidden="1"/>
    <cellStyle name="Followed Hyperlink" xfId="657" builtinId="9" hidden="1"/>
    <cellStyle name="Followed Hyperlink" xfId="234" builtinId="9" hidden="1"/>
    <cellStyle name="Followed Hyperlink" xfId="276" builtinId="9" hidden="1"/>
    <cellStyle name="Followed Hyperlink" xfId="345" builtinId="9" hidden="1"/>
    <cellStyle name="Followed Hyperlink" xfId="410" builtinId="9" hidden="1"/>
    <cellStyle name="Followed Hyperlink" xfId="454" builtinId="9" hidden="1"/>
    <cellStyle name="Followed Hyperlink" xfId="518" builtinId="9" hidden="1"/>
    <cellStyle name="Followed Hyperlink" xfId="582" builtinId="9" hidden="1"/>
    <cellStyle name="Followed Hyperlink" xfId="572" builtinId="9" hidden="1"/>
    <cellStyle name="Followed Hyperlink" xfId="380" builtinId="9" hidden="1"/>
    <cellStyle name="Followed Hyperlink" xfId="94" builtinId="9" hidden="1"/>
    <cellStyle name="Followed Hyperlink" xfId="130" builtinId="9" hidden="1"/>
    <cellStyle name="Followed Hyperlink" xfId="186" builtinId="9" hidden="1"/>
    <cellStyle name="Followed Hyperlink" xfId="60" builtinId="9" hidden="1"/>
    <cellStyle name="Followed Hyperlink" xfId="24" builtinId="9" hidden="1"/>
    <cellStyle name="Followed Hyperlink" xfId="14" builtinId="9" hidden="1"/>
    <cellStyle name="Followed Hyperlink" xfId="66" builtinId="9" hidden="1"/>
    <cellStyle name="Followed Hyperlink" xfId="150" builtinId="9" hidden="1"/>
    <cellStyle name="Followed Hyperlink" xfId="156" builtinId="9" hidden="1"/>
    <cellStyle name="Followed Hyperlink" xfId="100" builtinId="9" hidden="1"/>
    <cellStyle name="Followed Hyperlink" xfId="286" builtinId="9" hidden="1"/>
    <cellStyle name="Followed Hyperlink" xfId="484" builtinId="9" hidden="1"/>
    <cellStyle name="Followed Hyperlink" xfId="590" builtinId="9" hidden="1"/>
    <cellStyle name="Followed Hyperlink" xfId="546" builtinId="9" hidden="1"/>
    <cellStyle name="Followed Hyperlink" xfId="482" builtinId="9" hidden="1"/>
    <cellStyle name="Followed Hyperlink" xfId="418" builtinId="9" hidden="1"/>
    <cellStyle name="Followed Hyperlink" xfId="375" builtinId="9" hidden="1"/>
    <cellStyle name="Followed Hyperlink" xfId="311" builtinId="9" hidden="1"/>
    <cellStyle name="Followed Hyperlink" xfId="242" builtinId="9" hidden="1"/>
    <cellStyle name="Followed Hyperlink" xfId="613" builtinId="9" hidden="1"/>
    <cellStyle name="Followed Hyperlink" xfId="709" builtinId="9" hidden="1"/>
    <cellStyle name="Followed Hyperlink" xfId="805" builtinId="9" hidden="1"/>
    <cellStyle name="Followed Hyperlink" xfId="869" builtinId="9" hidden="1"/>
    <cellStyle name="Followed Hyperlink" xfId="968" builtinId="9" hidden="1"/>
    <cellStyle name="Followed Hyperlink" xfId="1065" builtinId="9" hidden="1"/>
    <cellStyle name="Followed Hyperlink" xfId="1129" builtinId="9" hidden="1"/>
    <cellStyle name="Followed Hyperlink" xfId="1229" builtinId="9" hidden="1"/>
    <cellStyle name="Followed Hyperlink" xfId="1326" builtinId="9" hidden="1"/>
    <cellStyle name="Followed Hyperlink" xfId="1390" builtinId="9" hidden="1"/>
    <cellStyle name="Followed Hyperlink" xfId="1486" builtinId="9" hidden="1"/>
    <cellStyle name="Followed Hyperlink" xfId="1579" builtinId="9" hidden="1"/>
    <cellStyle name="Followed Hyperlink" xfId="1422" builtinId="9" hidden="1"/>
    <cellStyle name="Followed Hyperlink" xfId="1161" builtinId="9" hidden="1"/>
    <cellStyle name="Followed Hyperlink" xfId="904" builtinId="9" hidden="1"/>
    <cellStyle name="Followed Hyperlink" xfId="645" builtinId="9" hidden="1"/>
    <cellStyle name="Followed Hyperlink" xfId="353" builtinId="9" hidden="1"/>
    <cellStyle name="Followed Hyperlink" xfId="526" builtinId="9" hidden="1"/>
    <cellStyle name="Followed Hyperlink" xfId="355" builtinId="9" hidden="1"/>
    <cellStyle name="Followed Hyperlink" xfId="192" builtinId="9" hidden="1"/>
    <cellStyle name="Followed Hyperlink" xfId="36" builtinId="9" hidden="1"/>
    <cellStyle name="Followed Hyperlink" xfId="148" builtinId="9" hidden="1"/>
    <cellStyle name="Followed Hyperlink" xfId="508" builtinId="9" hidden="1"/>
    <cellStyle name="Followed Hyperlink" xfId="474" builtinId="9" hidden="1"/>
    <cellStyle name="Followed Hyperlink" xfId="298" builtinId="9" hidden="1"/>
    <cellStyle name="Followed Hyperlink" xfId="721" builtinId="9" hidden="1"/>
    <cellStyle name="Followed Hyperlink" xfId="981" builtinId="9" hidden="1"/>
    <cellStyle name="Followed Hyperlink" xfId="1241" builtinId="9" hidden="1"/>
    <cellStyle name="Followed Hyperlink" xfId="1198" builtinId="9" hidden="1"/>
    <cellStyle name="Followed Hyperlink" xfId="1751" builtinId="9" hidden="1"/>
    <cellStyle name="Followed Hyperlink" xfId="2005" builtinId="9" hidden="1"/>
    <cellStyle name="Followed Hyperlink" xfId="2265" builtinId="9" hidden="1"/>
    <cellStyle name="Followed Hyperlink" xfId="2518" builtinId="9" hidden="1"/>
    <cellStyle name="Followed Hyperlink" xfId="2776" builtinId="9" hidden="1"/>
    <cellStyle name="Followed Hyperlink" xfId="3038" builtinId="9" hidden="1"/>
    <cellStyle name="Followed Hyperlink" xfId="3292" builtinId="9" hidden="1"/>
    <cellStyle name="Followed Hyperlink" xfId="3548" builtinId="9" hidden="1"/>
    <cellStyle name="Followed Hyperlink" xfId="5566" builtinId="9" hidden="1"/>
    <cellStyle name="Followed Hyperlink" xfId="5502" builtinId="9" hidden="1"/>
    <cellStyle name="Followed Hyperlink" xfId="5406" builtinId="9" hidden="1"/>
    <cellStyle name="Followed Hyperlink" xfId="5340" builtinId="9" hidden="1"/>
    <cellStyle name="Followed Hyperlink" xfId="5276" builtinId="9" hidden="1"/>
    <cellStyle name="Followed Hyperlink" xfId="5180" builtinId="9" hidden="1"/>
    <cellStyle name="Followed Hyperlink" xfId="5116" builtinId="9" hidden="1"/>
    <cellStyle name="Followed Hyperlink" xfId="4755" builtinId="9" hidden="1"/>
    <cellStyle name="Followed Hyperlink" xfId="4991" builtinId="9" hidden="1"/>
    <cellStyle name="Followed Hyperlink" xfId="4895" builtinId="9" hidden="1"/>
    <cellStyle name="Followed Hyperlink" xfId="4831" builtinId="9" hidden="1"/>
    <cellStyle name="Followed Hyperlink" xfId="4766" builtinId="9" hidden="1"/>
    <cellStyle name="Followed Hyperlink" xfId="4664" builtinId="9" hidden="1"/>
    <cellStyle name="Followed Hyperlink" xfId="4600" builtinId="9" hidden="1"/>
    <cellStyle name="Followed Hyperlink" xfId="4536" builtinId="9" hidden="1"/>
    <cellStyle name="Followed Hyperlink" xfId="4470" builtinId="9" hidden="1"/>
    <cellStyle name="Followed Hyperlink" xfId="4383" builtinId="9" hidden="1"/>
    <cellStyle name="Followed Hyperlink" xfId="4319" builtinId="9" hidden="1"/>
    <cellStyle name="Followed Hyperlink" xfId="4255" builtinId="9" hidden="1"/>
    <cellStyle name="Followed Hyperlink" xfId="4162" builtinId="9" hidden="1"/>
    <cellStyle name="Followed Hyperlink" xfId="4098" builtinId="9" hidden="1"/>
    <cellStyle name="Followed Hyperlink" xfId="4034" builtinId="9" hidden="1"/>
    <cellStyle name="Followed Hyperlink" xfId="3970" builtinId="9" hidden="1"/>
    <cellStyle name="Followed Hyperlink" xfId="3873" builtinId="9" hidden="1"/>
    <cellStyle name="Followed Hyperlink" xfId="3805" builtinId="9" hidden="1"/>
    <cellStyle name="Followed Hyperlink" xfId="3741" builtinId="9" hidden="1"/>
    <cellStyle name="Followed Hyperlink" xfId="4191" builtinId="9" hidden="1"/>
    <cellStyle name="Followed Hyperlink" xfId="4696" builtinId="9" hidden="1"/>
    <cellStyle name="Followed Hyperlink" xfId="5212" builtinId="9" hidden="1"/>
    <cellStyle name="Followed Hyperlink" xfId="6293" builtinId="9" hidden="1"/>
    <cellStyle name="Followed Hyperlink" xfId="5347" builtinId="9" hidden="1"/>
    <cellStyle name="Followed Hyperlink" xfId="6175" builtinId="9" hidden="1"/>
    <cellStyle name="Followed Hyperlink" xfId="6111" builtinId="9" hidden="1"/>
    <cellStyle name="Followed Hyperlink" xfId="6047" builtinId="9" hidden="1"/>
    <cellStyle name="Followed Hyperlink" xfId="5951" builtinId="9" hidden="1"/>
    <cellStyle name="Followed Hyperlink" xfId="5890" builtinId="9" hidden="1"/>
    <cellStyle name="Followed Hyperlink" xfId="5826" builtinId="9" hidden="1"/>
    <cellStyle name="Followed Hyperlink" xfId="5762" builtinId="9" hidden="1"/>
    <cellStyle name="Followed Hyperlink" xfId="5697" builtinId="9" hidden="1"/>
    <cellStyle name="Followed Hyperlink" xfId="5630" builtinId="9" hidden="1"/>
    <cellStyle name="Followed Hyperlink" xfId="5983" builtinId="9" hidden="1"/>
    <cellStyle name="Followed Hyperlink" xfId="6616" builtinId="9" hidden="1"/>
    <cellStyle name="Followed Hyperlink" xfId="6551" builtinId="9" hidden="1"/>
    <cellStyle name="Followed Hyperlink" xfId="6453" builtinId="9" hidden="1"/>
    <cellStyle name="Followed Hyperlink" xfId="6389" builtinId="9" hidden="1"/>
    <cellStyle name="Followed Hyperlink" xfId="6325" builtinId="9" hidden="1"/>
    <cellStyle name="Followed Hyperlink" xfId="6808" builtinId="9" hidden="1"/>
    <cellStyle name="Followed Hyperlink" xfId="6744" builtinId="9" hidden="1"/>
    <cellStyle name="Followed Hyperlink" xfId="6680" builtinId="9" hidden="1"/>
    <cellStyle name="Followed Hyperlink" xfId="6837" builtinId="9" hidden="1"/>
    <cellStyle name="Followed Hyperlink" xfId="6933" builtinId="9" hidden="1"/>
    <cellStyle name="Followed Hyperlink" xfId="6901" builtinId="9" hidden="1"/>
    <cellStyle name="Followed Hyperlink" xfId="6869" builtinId="9" hidden="1"/>
    <cellStyle name="Followed Hyperlink" xfId="6712" builtinId="9" hidden="1"/>
    <cellStyle name="Followed Hyperlink" xfId="6776" builtinId="9" hidden="1"/>
    <cellStyle name="Followed Hyperlink" xfId="6485" builtinId="9" hidden="1"/>
    <cellStyle name="Followed Hyperlink" xfId="6357" builtinId="9" hidden="1"/>
    <cellStyle name="Followed Hyperlink" xfId="6421" builtinId="9" hidden="1"/>
    <cellStyle name="Followed Hyperlink" xfId="6517" builtinId="9" hidden="1"/>
    <cellStyle name="Followed Hyperlink" xfId="6583" builtinId="9" hidden="1"/>
    <cellStyle name="Followed Hyperlink" xfId="6648" builtinId="9" hidden="1"/>
    <cellStyle name="Followed Hyperlink" xfId="5598" builtinId="9" hidden="1"/>
    <cellStyle name="Followed Hyperlink" xfId="5665" builtinId="9" hidden="1"/>
    <cellStyle name="Followed Hyperlink" xfId="5730" builtinId="9" hidden="1"/>
    <cellStyle name="Followed Hyperlink" xfId="5794" builtinId="9" hidden="1"/>
    <cellStyle name="Followed Hyperlink" xfId="5858" builtinId="9" hidden="1"/>
    <cellStyle name="Followed Hyperlink" xfId="5922" builtinId="9" hidden="1"/>
    <cellStyle name="Followed Hyperlink" xfId="6015" builtinId="9" hidden="1"/>
    <cellStyle name="Followed Hyperlink" xfId="6079" builtinId="9" hidden="1"/>
    <cellStyle name="Followed Hyperlink" xfId="6143" builtinId="9" hidden="1"/>
    <cellStyle name="Followed Hyperlink" xfId="6207" builtinId="9" hidden="1"/>
    <cellStyle name="Followed Hyperlink" xfId="6261" builtinId="9" hidden="1"/>
    <cellStyle name="Followed Hyperlink" xfId="5470" builtinId="9" hidden="1"/>
    <cellStyle name="Followed Hyperlink" xfId="4959" builtinId="9" hidden="1"/>
    <cellStyle name="Followed Hyperlink" xfId="4447" builtinId="9" hidden="1"/>
    <cellStyle name="Followed Hyperlink" xfId="3937" builtinId="9" hidden="1"/>
    <cellStyle name="Followed Hyperlink" xfId="3773" builtinId="9" hidden="1"/>
    <cellStyle name="Followed Hyperlink" xfId="3837" builtinId="9" hidden="1"/>
    <cellStyle name="Followed Hyperlink" xfId="3905" builtinId="9" hidden="1"/>
    <cellStyle name="Followed Hyperlink" xfId="4002" builtinId="9" hidden="1"/>
    <cellStyle name="Followed Hyperlink" xfId="4066" builtinId="9" hidden="1"/>
    <cellStyle name="Followed Hyperlink" xfId="4130" builtinId="9" hidden="1"/>
    <cellStyle name="Followed Hyperlink" xfId="4223" builtinId="9" hidden="1"/>
    <cellStyle name="Followed Hyperlink" xfId="4287" builtinId="9" hidden="1"/>
    <cellStyle name="Followed Hyperlink" xfId="4351" builtinId="9" hidden="1"/>
    <cellStyle name="Followed Hyperlink" xfId="4415" builtinId="9" hidden="1"/>
    <cellStyle name="Followed Hyperlink" xfId="4502" builtinId="9" hidden="1"/>
    <cellStyle name="Followed Hyperlink" xfId="4568" builtinId="9" hidden="1"/>
    <cellStyle name="Followed Hyperlink" xfId="4632" builtinId="9" hidden="1"/>
    <cellStyle name="Followed Hyperlink" xfId="4728" builtinId="9" hidden="1"/>
    <cellStyle name="Followed Hyperlink" xfId="4798" builtinId="9" hidden="1"/>
    <cellStyle name="Followed Hyperlink" xfId="4863" builtinId="9" hidden="1"/>
    <cellStyle name="Followed Hyperlink" xfId="4927" builtinId="9" hidden="1"/>
    <cellStyle name="Followed Hyperlink" xfId="5023" builtinId="9" hidden="1"/>
    <cellStyle name="Followed Hyperlink" xfId="5084" builtinId="9" hidden="1"/>
    <cellStyle name="Followed Hyperlink" xfId="5148" builtinId="9" hidden="1"/>
    <cellStyle name="Followed Hyperlink" xfId="5244" builtinId="9" hidden="1"/>
    <cellStyle name="Followed Hyperlink" xfId="5308" builtinId="9" hidden="1"/>
    <cellStyle name="Followed Hyperlink" xfId="5374" builtinId="9" hidden="1"/>
    <cellStyle name="Followed Hyperlink" xfId="5438" builtinId="9" hidden="1"/>
    <cellStyle name="Followed Hyperlink" xfId="5534" builtinId="9" hidden="1"/>
    <cellStyle name="Followed Hyperlink" xfId="3677" builtinId="9" hidden="1"/>
    <cellStyle name="Followed Hyperlink" xfId="3420" builtinId="9" hidden="1"/>
    <cellStyle name="Followed Hyperlink" xfId="3167" builtinId="9" hidden="1"/>
    <cellStyle name="Followed Hyperlink" xfId="2904" builtinId="9" hidden="1"/>
    <cellStyle name="Followed Hyperlink" xfId="2646" builtinId="9" hidden="1"/>
    <cellStyle name="Followed Hyperlink" xfId="2390" builtinId="9" hidden="1"/>
    <cellStyle name="Followed Hyperlink" xfId="2136" builtinId="9" hidden="1"/>
    <cellStyle name="Followed Hyperlink" xfId="1877" builtinId="9" hidden="1"/>
    <cellStyle name="Followed Hyperlink" xfId="1623" builtinId="9" hidden="1"/>
    <cellStyle name="Followed Hyperlink" xfId="1370" builtinId="9" hidden="1"/>
    <cellStyle name="Followed Hyperlink" xfId="1109" builtinId="9" hidden="1"/>
    <cellStyle name="Followed Hyperlink" xfId="849" builtinId="9" hidden="1"/>
    <cellStyle name="Followed Hyperlink" xfId="212" builtinId="9" hidden="1"/>
    <cellStyle name="Followed Hyperlink" xfId="390" builtinId="9" hidden="1"/>
    <cellStyle name="Followed Hyperlink" xfId="560" builtinId="9" hidden="1"/>
    <cellStyle name="Followed Hyperlink" xfId="246" builtinId="9" hidden="1"/>
    <cellStyle name="Followed Hyperlink" xfId="44" builtinId="9" hidden="1"/>
    <cellStyle name="Followed Hyperlink" xfId="86" builtinId="9" hidden="1"/>
    <cellStyle name="Followed Hyperlink" xfId="120" builtinId="9" hidden="1"/>
    <cellStyle name="Followed Hyperlink" xfId="607" builtinId="9" hidden="1"/>
    <cellStyle name="Followed Hyperlink" xfId="440" builtinId="9" hidden="1"/>
    <cellStyle name="Followed Hyperlink" xfId="264" builtinId="9" hidden="1"/>
    <cellStyle name="Followed Hyperlink" xfId="773" builtinId="9" hidden="1"/>
    <cellStyle name="Followed Hyperlink" xfId="1033" builtinId="9" hidden="1"/>
    <cellStyle name="Followed Hyperlink" xfId="1294" builtinId="9" hidden="1"/>
    <cellStyle name="Followed Hyperlink" xfId="1547" builtinId="9" hidden="1"/>
    <cellStyle name="Followed Hyperlink" xfId="1515" builtinId="9" hidden="1"/>
    <cellStyle name="Followed Hyperlink" xfId="1454" builtinId="9" hidden="1"/>
    <cellStyle name="Followed Hyperlink" xfId="1358" builtinId="9" hidden="1"/>
    <cellStyle name="Followed Hyperlink" xfId="1261" builtinId="9" hidden="1"/>
    <cellStyle name="Followed Hyperlink" xfId="1193" builtinId="9" hidden="1"/>
    <cellStyle name="Followed Hyperlink" xfId="1097" builtinId="9" hidden="1"/>
    <cellStyle name="Followed Hyperlink" xfId="1001" builtinId="9" hidden="1"/>
    <cellStyle name="Followed Hyperlink" xfId="936" builtinId="9" hidden="1"/>
    <cellStyle name="Followed Hyperlink" xfId="837" builtinId="9" hidden="1"/>
    <cellStyle name="Followed Hyperlink" xfId="741" builtinId="9" hidden="1"/>
    <cellStyle name="Followed Hyperlink" xfId="677" builtinId="9" hidden="1"/>
    <cellStyle name="Followed Hyperlink" xfId="220" builtinId="9" hidden="1"/>
    <cellStyle name="Followed Hyperlink" xfId="284" builtinId="9" hidden="1"/>
    <cellStyle name="Followed Hyperlink" xfId="333" builtinId="9" hidden="1"/>
    <cellStyle name="Followed Hyperlink" xfId="398" builtinId="9" hidden="1"/>
    <cellStyle name="Followed Hyperlink" xfId="462" builtinId="9" hidden="1"/>
    <cellStyle name="Followed Hyperlink" xfId="504" builtinId="9" hidden="1"/>
    <cellStyle name="Followed Hyperlink" xfId="568" builtinId="9" hidden="1"/>
    <cellStyle name="Followed Hyperlink" xfId="548" builtinId="9" hidden="1"/>
    <cellStyle name="Followed Hyperlink" xfId="420" builtinId="9" hidden="1"/>
    <cellStyle name="Followed Hyperlink" xfId="222" builtinId="9" hidden="1"/>
    <cellStyle name="Followed Hyperlink" xfId="138" builtinId="9" hidden="1"/>
    <cellStyle name="Followed Hyperlink" xfId="174" builtinId="9" hidden="1"/>
    <cellStyle name="Followed Hyperlink" xfId="50" builtinId="9" hidden="1"/>
    <cellStyle name="Followed Hyperlink" xfId="30" builtinId="9" hidden="1"/>
    <cellStyle name="Followed Hyperlink" xfId="4" builtinId="9" hidden="1"/>
    <cellStyle name="Followed Hyperlink" xfId="80" builtinId="9" hidden="1"/>
    <cellStyle name="Followed Hyperlink" xfId="198" builtinId="9" hidden="1"/>
    <cellStyle name="Followed Hyperlink" xfId="168" builtinId="9" hidden="1"/>
    <cellStyle name="Followed Hyperlink" xfId="112" builtinId="9" hidden="1"/>
    <cellStyle name="Followed Hyperlink" xfId="315" builtinId="9" hidden="1"/>
    <cellStyle name="Followed Hyperlink" xfId="444" builtinId="9" hidden="1"/>
    <cellStyle name="Followed Hyperlink" xfId="378" builtinId="9" hidden="1"/>
    <cellStyle name="Followed Hyperlink" xfId="538" builtinId="9" hidden="1"/>
    <cellStyle name="Followed Hyperlink" xfId="496" builtinId="9" hidden="1"/>
    <cellStyle name="Followed Hyperlink" xfId="432" builtinId="9" hidden="1"/>
    <cellStyle name="Followed Hyperlink" xfId="367" builtinId="9" hidden="1"/>
    <cellStyle name="Followed Hyperlink" xfId="325" builtinId="9" hidden="1"/>
    <cellStyle name="Followed Hyperlink" xfId="256" builtinId="9" hidden="1"/>
    <cellStyle name="Followed Hyperlink" xfId="625" builtinId="9" hidden="1"/>
    <cellStyle name="Followed Hyperlink" xfId="689" builtinId="9" hidden="1"/>
    <cellStyle name="Followed Hyperlink" xfId="785" builtinId="9" hidden="1"/>
    <cellStyle name="Followed Hyperlink" xfId="881" builtinId="9" hidden="1"/>
    <cellStyle name="Followed Hyperlink" xfId="948" builtinId="9" hidden="1"/>
    <cellStyle name="Followed Hyperlink" xfId="1045" builtinId="9" hidden="1"/>
    <cellStyle name="Followed Hyperlink" xfId="1141" builtinId="9" hidden="1"/>
    <cellStyle name="Followed Hyperlink" xfId="1209" builtinId="9" hidden="1"/>
    <cellStyle name="Followed Hyperlink" xfId="1306" builtinId="9" hidden="1"/>
    <cellStyle name="Followed Hyperlink" xfId="1402" builtinId="9" hidden="1"/>
    <cellStyle name="Followed Hyperlink" xfId="1466" builtinId="9" hidden="1"/>
    <cellStyle name="Followed Hyperlink" xfId="1559" builtinId="9" hidden="1"/>
    <cellStyle name="Followed Hyperlink" xfId="1655" builtinId="9" hidden="1"/>
    <cellStyle name="Followed Hyperlink" xfId="1719" builtinId="9" hidden="1"/>
    <cellStyle name="Followed Hyperlink" xfId="1813" builtinId="9" hidden="1"/>
    <cellStyle name="Followed Hyperlink" xfId="1909" builtinId="9" hidden="1"/>
    <cellStyle name="Followed Hyperlink" xfId="1973" builtinId="9" hidden="1"/>
    <cellStyle name="Followed Hyperlink" xfId="2069" builtinId="9" hidden="1"/>
    <cellStyle name="Followed Hyperlink" xfId="2169" builtinId="9" hidden="1"/>
    <cellStyle name="Followed Hyperlink" xfId="2233" builtinId="9" hidden="1"/>
    <cellStyle name="Followed Hyperlink" xfId="2329" builtinId="9" hidden="1"/>
    <cellStyle name="Followed Hyperlink" xfId="2422" builtinId="9" hidden="1"/>
    <cellStyle name="Followed Hyperlink" xfId="2486" builtinId="9" hidden="1"/>
    <cellStyle name="Followed Hyperlink" xfId="2582" builtinId="9" hidden="1"/>
    <cellStyle name="Followed Hyperlink" xfId="2678" builtinId="9" hidden="1"/>
    <cellStyle name="Followed Hyperlink" xfId="2742" builtinId="9" hidden="1"/>
    <cellStyle name="Followed Hyperlink" xfId="2840" builtinId="9" hidden="1"/>
    <cellStyle name="Followed Hyperlink" xfId="2936" builtinId="9" hidden="1"/>
    <cellStyle name="Followed Hyperlink" xfId="3006" builtinId="9" hidden="1"/>
    <cellStyle name="Followed Hyperlink" xfId="3103" builtinId="9" hidden="1"/>
    <cellStyle name="Followed Hyperlink" xfId="3199" builtinId="9" hidden="1"/>
    <cellStyle name="Followed Hyperlink" xfId="3263" builtinId="9" hidden="1"/>
    <cellStyle name="Followed Hyperlink" xfId="3356" builtinId="9" hidden="1"/>
    <cellStyle name="Followed Hyperlink" xfId="3452" builtinId="9" hidden="1"/>
    <cellStyle name="Followed Hyperlink" xfId="3516" builtinId="9" hidden="1"/>
    <cellStyle name="Followed Hyperlink" xfId="3613" builtinId="9" hidden="1"/>
    <cellStyle name="Followed Hyperlink" xfId="3709" builtinId="9" hidden="1"/>
    <cellStyle name="Followed Hyperlink" xfId="1675" builtinId="9" hidden="1"/>
    <cellStyle name="Followed Hyperlink" xfId="1801" builtinId="9" hidden="1"/>
    <cellStyle name="Followed Hyperlink" xfId="1929" builtinId="9" hidden="1"/>
    <cellStyle name="Followed Hyperlink" xfId="2057" builtinId="9" hidden="1"/>
    <cellStyle name="Followed Hyperlink" xfId="2189" builtinId="9" hidden="1"/>
    <cellStyle name="Followed Hyperlink" xfId="2317" builtinId="9" hidden="1"/>
    <cellStyle name="Followed Hyperlink" xfId="2442" builtinId="9" hidden="1"/>
    <cellStyle name="Followed Hyperlink" xfId="2570" builtinId="9" hidden="1"/>
    <cellStyle name="Followed Hyperlink" xfId="2698" builtinId="9" hidden="1"/>
    <cellStyle name="Followed Hyperlink" xfId="2828" builtinId="9" hidden="1"/>
    <cellStyle name="Followed Hyperlink" xfId="2956" builtinId="9" hidden="1"/>
    <cellStyle name="Followed Hyperlink" xfId="3091" builtinId="9" hidden="1"/>
    <cellStyle name="Followed Hyperlink" xfId="3219" builtinId="9" hidden="1"/>
    <cellStyle name="Followed Hyperlink" xfId="3344" builtinId="9" hidden="1"/>
    <cellStyle name="Followed Hyperlink" xfId="3472" builtinId="9" hidden="1"/>
    <cellStyle name="Followed Hyperlink" xfId="3601" builtinId="9" hidden="1"/>
    <cellStyle name="Followed Hyperlink" xfId="3729" builtinId="9" hidden="1"/>
    <cellStyle name="Followed Hyperlink" xfId="3857" builtinId="9" hidden="1"/>
    <cellStyle name="Followed Hyperlink" xfId="3990" builtinId="9" hidden="1"/>
    <cellStyle name="Followed Hyperlink" xfId="4118" builtinId="9" hidden="1"/>
    <cellStyle name="Followed Hyperlink" xfId="4243" builtinId="9" hidden="1"/>
    <cellStyle name="Followed Hyperlink" xfId="4371" builtinId="9" hidden="1"/>
    <cellStyle name="Followed Hyperlink" xfId="4490" builtinId="9" hidden="1"/>
    <cellStyle name="Followed Hyperlink" xfId="4620" builtinId="9" hidden="1"/>
    <cellStyle name="Followed Hyperlink" xfId="4748" builtinId="9" hidden="1"/>
    <cellStyle name="Followed Hyperlink" xfId="4883" builtinId="9" hidden="1"/>
    <cellStyle name="Followed Hyperlink" xfId="5011" builtinId="9" hidden="1"/>
    <cellStyle name="Followed Hyperlink" xfId="5136" builtinId="9" hidden="1"/>
    <cellStyle name="Followed Hyperlink" xfId="5264" builtinId="9" hidden="1"/>
    <cellStyle name="Followed Hyperlink" xfId="5394" builtinId="9" hidden="1"/>
    <cellStyle name="Followed Hyperlink" xfId="5522" builtinId="9" hidden="1"/>
    <cellStyle name="Followed Hyperlink" xfId="5653" builtinId="9" hidden="1"/>
    <cellStyle name="Followed Hyperlink" xfId="5782" builtinId="9" hidden="1"/>
    <cellStyle name="Followed Hyperlink" xfId="5910" builtinId="9" hidden="1"/>
    <cellStyle name="Followed Hyperlink" xfId="6035" builtinId="9" hidden="1"/>
    <cellStyle name="Followed Hyperlink" xfId="6163" builtinId="9" hidden="1"/>
    <cellStyle name="Followed Hyperlink" xfId="6281" builtinId="9" hidden="1"/>
    <cellStyle name="Followed Hyperlink" xfId="6409" builtinId="9" hidden="1"/>
    <cellStyle name="Followed Hyperlink" xfId="6539" builtinId="9" hidden="1"/>
    <cellStyle name="Followed Hyperlink" xfId="6668" builtinId="9" hidden="1"/>
    <cellStyle name="Followed Hyperlink" xfId="6796" builtinId="9" hidden="1"/>
    <cellStyle name="Followed Hyperlink" xfId="6921" builtinId="9" hidden="1"/>
    <cellStyle name="Followed Hyperlink" xfId="7049" builtinId="9" hidden="1"/>
    <cellStyle name="Followed Hyperlink" xfId="7177" builtinId="9" hidden="1"/>
    <cellStyle name="Followed Hyperlink" xfId="7305" builtinId="9" hidden="1"/>
    <cellStyle name="Followed Hyperlink" xfId="7435" builtinId="9" hidden="1"/>
    <cellStyle name="Followed Hyperlink" xfId="7564" builtinId="9" hidden="1"/>
    <cellStyle name="Followed Hyperlink" xfId="7692" builtinId="9" hidden="1"/>
    <cellStyle name="Followed Hyperlink" xfId="7817" builtinId="9" hidden="1"/>
    <cellStyle name="Followed Hyperlink" xfId="7945" builtinId="9" hidden="1"/>
    <cellStyle name="Followed Hyperlink" xfId="7931" builtinId="9" hidden="1"/>
    <cellStyle name="Followed Hyperlink" xfId="7803" builtinId="9" hidden="1"/>
    <cellStyle name="Followed Hyperlink" xfId="7678" builtinId="9" hidden="1"/>
    <cellStyle name="Followed Hyperlink" xfId="7550" builtinId="9" hidden="1"/>
    <cellStyle name="Followed Hyperlink" xfId="7421" builtinId="9" hidden="1"/>
    <cellStyle name="Followed Hyperlink" xfId="7291" builtinId="9" hidden="1"/>
    <cellStyle name="Followed Hyperlink" xfId="7163" builtinId="9" hidden="1"/>
    <cellStyle name="Followed Hyperlink" xfId="7035" builtinId="9" hidden="1"/>
    <cellStyle name="Followed Hyperlink" xfId="6907" builtinId="9" hidden="1"/>
    <cellStyle name="Followed Hyperlink" xfId="6782" builtinId="9" hidden="1"/>
    <cellStyle name="Followed Hyperlink" xfId="6654" builtinId="9" hidden="1"/>
    <cellStyle name="Followed Hyperlink" xfId="6525" builtinId="9" hidden="1"/>
    <cellStyle name="Followed Hyperlink" xfId="6395" builtinId="9" hidden="1"/>
    <cellStyle name="Followed Hyperlink" xfId="6267" builtinId="9" hidden="1"/>
    <cellStyle name="Followed Hyperlink" xfId="6149" builtinId="9" hidden="1"/>
    <cellStyle name="Followed Hyperlink" xfId="6021" builtinId="9" hidden="1"/>
    <cellStyle name="Followed Hyperlink" xfId="5896" builtinId="9" hidden="1"/>
    <cellStyle name="Followed Hyperlink" xfId="5768" builtinId="9" hidden="1"/>
    <cellStyle name="Followed Hyperlink" xfId="5636" builtinId="9" hidden="1"/>
    <cellStyle name="Followed Hyperlink" xfId="5508" builtinId="9" hidden="1"/>
    <cellStyle name="Followed Hyperlink" xfId="5380" builtinId="9" hidden="1"/>
    <cellStyle name="Followed Hyperlink" xfId="5250" builtinId="9" hidden="1"/>
    <cellStyle name="Followed Hyperlink" xfId="5122" builtinId="9" hidden="1"/>
    <cellStyle name="Followed Hyperlink" xfId="4997" builtinId="9" hidden="1"/>
    <cellStyle name="Followed Hyperlink" xfId="4869" builtinId="9" hidden="1"/>
    <cellStyle name="Followed Hyperlink" xfId="4734" builtinId="9" hidden="1"/>
    <cellStyle name="Followed Hyperlink" xfId="4606" builtinId="9" hidden="1"/>
    <cellStyle name="Followed Hyperlink" xfId="4476" builtinId="9" hidden="1"/>
    <cellStyle name="Followed Hyperlink" xfId="4357" builtinId="9" hidden="1"/>
    <cellStyle name="Followed Hyperlink" xfId="4229" builtinId="9" hidden="1"/>
    <cellStyle name="Followed Hyperlink" xfId="4104" builtinId="9" hidden="1"/>
    <cellStyle name="Followed Hyperlink" xfId="3976" builtinId="9" hidden="1"/>
    <cellStyle name="Followed Hyperlink" xfId="3843" builtinId="9" hidden="1"/>
    <cellStyle name="Followed Hyperlink" xfId="3715" builtinId="9" hidden="1"/>
    <cellStyle name="Followed Hyperlink" xfId="3587" builtinId="9" hidden="1"/>
    <cellStyle name="Followed Hyperlink" xfId="3458" builtinId="9" hidden="1"/>
    <cellStyle name="Followed Hyperlink" xfId="3330" builtinId="9" hidden="1"/>
    <cellStyle name="Followed Hyperlink" xfId="3205" builtinId="9" hidden="1"/>
    <cellStyle name="Followed Hyperlink" xfId="3077" builtinId="9" hidden="1"/>
    <cellStyle name="Followed Hyperlink" xfId="2942" builtinId="9" hidden="1"/>
    <cellStyle name="Followed Hyperlink" xfId="2814" builtinId="9" hidden="1"/>
    <cellStyle name="Followed Hyperlink" xfId="2684" builtinId="9" hidden="1"/>
    <cellStyle name="Followed Hyperlink" xfId="2556" builtinId="9" hidden="1"/>
    <cellStyle name="Followed Hyperlink" xfId="2428" builtinId="9" hidden="1"/>
    <cellStyle name="Followed Hyperlink" xfId="2303" builtinId="9" hidden="1"/>
    <cellStyle name="Followed Hyperlink" xfId="2175" builtinId="9" hidden="1"/>
    <cellStyle name="Followed Hyperlink" xfId="2043" builtinId="9" hidden="1"/>
    <cellStyle name="Followed Hyperlink" xfId="1915" builtinId="9" hidden="1"/>
    <cellStyle name="Followed Hyperlink" xfId="1031" builtinId="9" hidden="1"/>
    <cellStyle name="Followed Hyperlink" xfId="1119" builtinId="9" hidden="1"/>
    <cellStyle name="Followed Hyperlink" xfId="1207" builtinId="9" hidden="1"/>
    <cellStyle name="Followed Hyperlink" xfId="1292" builtinId="9" hidden="1"/>
    <cellStyle name="Followed Hyperlink" xfId="1380" builtinId="9" hidden="1"/>
    <cellStyle name="Followed Hyperlink" xfId="1464" builtinId="9" hidden="1"/>
    <cellStyle name="Followed Hyperlink" xfId="1545" builtinId="9" hidden="1"/>
    <cellStyle name="Followed Hyperlink" xfId="1633" builtinId="9" hidden="1"/>
    <cellStyle name="Followed Hyperlink" xfId="1717" builtinId="9" hidden="1"/>
    <cellStyle name="Followed Hyperlink" xfId="1799" builtinId="9" hidden="1"/>
    <cellStyle name="Followed Hyperlink" xfId="1613" builtinId="9" hidden="1"/>
    <cellStyle name="Followed Hyperlink" xfId="1360" builtinId="9" hidden="1"/>
    <cellStyle name="Followed Hyperlink" xfId="1099" builtinId="9" hidden="1"/>
    <cellStyle name="Followed Hyperlink" xfId="827" builtinId="9" hidden="1"/>
    <cellStyle name="Followed Hyperlink" xfId="902" builtinId="9" hidden="1"/>
    <cellStyle name="Followed Hyperlink" xfId="979" builtinId="9" hidden="1"/>
    <cellStyle name="Followed Hyperlink" xfId="695" builtinId="9" hidden="1"/>
    <cellStyle name="Followed Hyperlink" xfId="763" builtinId="9" hidden="1"/>
    <cellStyle name="Followed Hyperlink" xfId="679" builtinId="9" hidden="1"/>
    <cellStyle name="Followed Hyperlink" xfId="635" builtinId="9" hidden="1"/>
    <cellStyle name="Followed Hyperlink" xfId="775" builtinId="9" hidden="1"/>
    <cellStyle name="Followed Hyperlink" xfId="707" builtinId="9" hidden="1"/>
    <cellStyle name="Followed Hyperlink" xfId="991" builtinId="9" hidden="1"/>
    <cellStyle name="Followed Hyperlink" xfId="918" builtinId="9" hidden="1"/>
    <cellStyle name="Followed Hyperlink" xfId="843" builtinId="9" hidden="1"/>
    <cellStyle name="Followed Hyperlink" xfId="1051" builtinId="9" hidden="1"/>
    <cellStyle name="Followed Hyperlink" xfId="1312" builtinId="9" hidden="1"/>
    <cellStyle name="Followed Hyperlink" xfId="1565" builtinId="9" hidden="1"/>
    <cellStyle name="Followed Hyperlink" xfId="1815" builtinId="9" hidden="1"/>
    <cellStyle name="Followed Hyperlink" xfId="1733" builtinId="9" hidden="1"/>
    <cellStyle name="Followed Hyperlink" xfId="1649" builtinId="9" hidden="1"/>
    <cellStyle name="Followed Hyperlink" xfId="1561" builtinId="9" hidden="1"/>
    <cellStyle name="Followed Hyperlink" xfId="1480" builtinId="9" hidden="1"/>
    <cellStyle name="Followed Hyperlink" xfId="1396" builtinId="9" hidden="1"/>
    <cellStyle name="Followed Hyperlink" xfId="1308" builtinId="9" hidden="1"/>
    <cellStyle name="Followed Hyperlink" xfId="1223" builtinId="9" hidden="1"/>
    <cellStyle name="Followed Hyperlink" xfId="1135" builtinId="9" hidden="1"/>
    <cellStyle name="Followed Hyperlink" xfId="1047" builtinId="9" hidden="1"/>
    <cellStyle name="Followed Hyperlink" xfId="1891" builtinId="9" hidden="1"/>
    <cellStyle name="Followed Hyperlink" xfId="2019" builtinId="9" hidden="1"/>
    <cellStyle name="Followed Hyperlink" xfId="2150" builtinId="9" hidden="1"/>
    <cellStyle name="Followed Hyperlink" xfId="2279" builtinId="9" hidden="1"/>
    <cellStyle name="Followed Hyperlink" xfId="2404" builtinId="9" hidden="1"/>
    <cellStyle name="Followed Hyperlink" xfId="2532" builtinId="9" hidden="1"/>
    <cellStyle name="Followed Hyperlink" xfId="2660" builtinId="9" hidden="1"/>
    <cellStyle name="Followed Hyperlink" xfId="2790" builtinId="9" hidden="1"/>
    <cellStyle name="Followed Hyperlink" xfId="2918" builtinId="9" hidden="1"/>
    <cellStyle name="Followed Hyperlink" xfId="3052" builtinId="9" hidden="1"/>
    <cellStyle name="Followed Hyperlink" xfId="3181" builtinId="9" hidden="1"/>
    <cellStyle name="Followed Hyperlink" xfId="3306" builtinId="9" hidden="1"/>
    <cellStyle name="Followed Hyperlink" xfId="3434" builtinId="9" hidden="1"/>
    <cellStyle name="Followed Hyperlink" xfId="3562" builtinId="9" hidden="1"/>
    <cellStyle name="Followed Hyperlink" xfId="3691" builtinId="9" hidden="1"/>
    <cellStyle name="Followed Hyperlink" xfId="3819" builtinId="9" hidden="1"/>
    <cellStyle name="Followed Hyperlink" xfId="3952" builtinId="9" hidden="1"/>
    <cellStyle name="Followed Hyperlink" xfId="4080" builtinId="9" hidden="1"/>
    <cellStyle name="Followed Hyperlink" xfId="4205" builtinId="9" hidden="1"/>
    <cellStyle name="Followed Hyperlink" xfId="4333" builtinId="9" hidden="1"/>
    <cellStyle name="Followed Hyperlink" xfId="2975" builtinId="9" hidden="1"/>
    <cellStyle name="Followed Hyperlink" xfId="4582" builtinId="9" hidden="1"/>
    <cellStyle name="Followed Hyperlink" xfId="4710" builtinId="9" hidden="1"/>
    <cellStyle name="Followed Hyperlink" xfId="4845" builtinId="9" hidden="1"/>
    <cellStyle name="Followed Hyperlink" xfId="4973" builtinId="9" hidden="1"/>
    <cellStyle name="Followed Hyperlink" xfId="5098" builtinId="9" hidden="1"/>
    <cellStyle name="Followed Hyperlink" xfId="5226" builtinId="9" hidden="1"/>
    <cellStyle name="Followed Hyperlink" xfId="5356" builtinId="9" hidden="1"/>
    <cellStyle name="Followed Hyperlink" xfId="5484" builtinId="9" hidden="1"/>
    <cellStyle name="Followed Hyperlink" xfId="5612" builtinId="9" hidden="1"/>
    <cellStyle name="Followed Hyperlink" xfId="5744" builtinId="9" hidden="1"/>
    <cellStyle name="Followed Hyperlink" xfId="5872" builtinId="9" hidden="1"/>
    <cellStyle name="Followed Hyperlink" xfId="5997" builtinId="9" hidden="1"/>
    <cellStyle name="Followed Hyperlink" xfId="6125" builtinId="9" hidden="1"/>
    <cellStyle name="Followed Hyperlink" xfId="6243" builtinId="9" hidden="1"/>
    <cellStyle name="Followed Hyperlink" xfId="6371" builtinId="9" hidden="1"/>
    <cellStyle name="Followed Hyperlink" xfId="6499" builtinId="9" hidden="1"/>
    <cellStyle name="Followed Hyperlink" xfId="6630" builtinId="9" hidden="1"/>
    <cellStyle name="Followed Hyperlink" xfId="6758" builtinId="9" hidden="1"/>
    <cellStyle name="Followed Hyperlink" xfId="6883" builtinId="9" hidden="1"/>
    <cellStyle name="Followed Hyperlink" xfId="7011" builtinId="9" hidden="1"/>
    <cellStyle name="Followed Hyperlink" xfId="7139" builtinId="9" hidden="1"/>
    <cellStyle name="Followed Hyperlink" xfId="7267" builtinId="9" hidden="1"/>
    <cellStyle name="Followed Hyperlink" xfId="7395" builtinId="9" hidden="1"/>
    <cellStyle name="Followed Hyperlink" xfId="7526" builtinId="9" hidden="1"/>
    <cellStyle name="Followed Hyperlink" xfId="7654" builtinId="9" hidden="1"/>
    <cellStyle name="Followed Hyperlink" xfId="7779" builtinId="9" hidden="1"/>
    <cellStyle name="Followed Hyperlink" xfId="7907" builtinId="9" hidden="1"/>
    <cellStyle name="Followed Hyperlink" xfId="7969" builtinId="9" hidden="1"/>
    <cellStyle name="Followed Hyperlink" xfId="7841" builtinId="9" hidden="1"/>
    <cellStyle name="Followed Hyperlink" xfId="7713" builtinId="9" hidden="1"/>
    <cellStyle name="Followed Hyperlink" xfId="7588" builtinId="9" hidden="1"/>
    <cellStyle name="Followed Hyperlink" xfId="7459" builtinId="9" hidden="1"/>
    <cellStyle name="Followed Hyperlink" xfId="7329" builtinId="9" hidden="1"/>
    <cellStyle name="Followed Hyperlink" xfId="7201" builtinId="9" hidden="1"/>
    <cellStyle name="Followed Hyperlink" xfId="7073" builtinId="9" hidden="1"/>
    <cellStyle name="Followed Hyperlink" xfId="6945" builtinId="9" hidden="1"/>
    <cellStyle name="Followed Hyperlink" xfId="6820" builtinId="9" hidden="1"/>
    <cellStyle name="Followed Hyperlink" xfId="6692" builtinId="9" hidden="1"/>
    <cellStyle name="Followed Hyperlink" xfId="6563" builtinId="9" hidden="1"/>
    <cellStyle name="Followed Hyperlink" xfId="6433" builtinId="9" hidden="1"/>
    <cellStyle name="Followed Hyperlink" xfId="6305" builtinId="9" hidden="1"/>
    <cellStyle name="Followed Hyperlink" xfId="6187" builtinId="9" hidden="1"/>
    <cellStyle name="Followed Hyperlink" xfId="6059" builtinId="9" hidden="1"/>
    <cellStyle name="Followed Hyperlink" xfId="5934" builtinId="9" hidden="1"/>
    <cellStyle name="Followed Hyperlink" xfId="5806" builtinId="9" hidden="1"/>
    <cellStyle name="Followed Hyperlink" xfId="5677" builtinId="9" hidden="1"/>
    <cellStyle name="Followed Hyperlink" xfId="5546" builtinId="9" hidden="1"/>
    <cellStyle name="Followed Hyperlink" xfId="5418" builtinId="9" hidden="1"/>
    <cellStyle name="Followed Hyperlink" xfId="5288" builtinId="9" hidden="1"/>
    <cellStyle name="Followed Hyperlink" xfId="5160" builtinId="9" hidden="1"/>
    <cellStyle name="Followed Hyperlink" xfId="5035" builtinId="9" hidden="1"/>
    <cellStyle name="Followed Hyperlink" xfId="4907" builtinId="9" hidden="1"/>
    <cellStyle name="Followed Hyperlink" xfId="4778" builtinId="9" hidden="1"/>
    <cellStyle name="Followed Hyperlink" xfId="4644" builtinId="9" hidden="1"/>
    <cellStyle name="Followed Hyperlink" xfId="4514" builtinId="9" hidden="1"/>
    <cellStyle name="Followed Hyperlink" xfId="4395" builtinId="9" hidden="1"/>
    <cellStyle name="Followed Hyperlink" xfId="4267" builtinId="9" hidden="1"/>
    <cellStyle name="Followed Hyperlink" xfId="4142" builtinId="9" hidden="1"/>
    <cellStyle name="Followed Hyperlink" xfId="4014" builtinId="9" hidden="1"/>
    <cellStyle name="Followed Hyperlink" xfId="3885" builtinId="9" hidden="1"/>
    <cellStyle name="Followed Hyperlink" xfId="3753" builtinId="9" hidden="1"/>
    <cellStyle name="Followed Hyperlink" xfId="3625" builtinId="9" hidden="1"/>
    <cellStyle name="Followed Hyperlink" xfId="3496" builtinId="9" hidden="1"/>
    <cellStyle name="Followed Hyperlink" xfId="3368" builtinId="9" hidden="1"/>
    <cellStyle name="Followed Hyperlink" xfId="3243" builtinId="9" hidden="1"/>
    <cellStyle name="Followed Hyperlink" xfId="3115" builtinId="9" hidden="1"/>
    <cellStyle name="Followed Hyperlink" xfId="2986" builtinId="9" hidden="1"/>
    <cellStyle name="Followed Hyperlink" xfId="2852" builtinId="9" hidden="1"/>
    <cellStyle name="Followed Hyperlink" xfId="2722" builtinId="9" hidden="1"/>
    <cellStyle name="Followed Hyperlink" xfId="2594" builtinId="9" hidden="1"/>
    <cellStyle name="Followed Hyperlink" xfId="2466" builtinId="9" hidden="1"/>
    <cellStyle name="Followed Hyperlink" xfId="2341" builtinId="9" hidden="1"/>
    <cellStyle name="Followed Hyperlink" xfId="2213" builtinId="9" hidden="1"/>
    <cellStyle name="Followed Hyperlink" xfId="2081" builtinId="9" hidden="1"/>
    <cellStyle name="Followed Hyperlink" xfId="1953" builtinId="9" hidden="1"/>
    <cellStyle name="Followed Hyperlink" xfId="1825" builtinId="9" hidden="1"/>
    <cellStyle name="Followed Hyperlink" xfId="1699" builtinId="9" hidden="1"/>
    <cellStyle name="Followed Hyperlink" xfId="1571" builtinId="9" hidden="1"/>
    <cellStyle name="Followed Hyperlink" xfId="1446" builtinId="9" hidden="1"/>
    <cellStyle name="Followed Hyperlink" xfId="1318" builtinId="9" hidden="1"/>
    <cellStyle name="Followed Hyperlink" xfId="1185" builtinId="9" hidden="1"/>
    <cellStyle name="Followed Hyperlink" xfId="1057" builtinId="9" hidden="1"/>
    <cellStyle name="Followed Hyperlink" xfId="928" builtinId="9" hidden="1"/>
    <cellStyle name="Followed Hyperlink" xfId="797" builtinId="9" hidden="1"/>
    <cellStyle name="Followed Hyperlink" xfId="669" builtinId="9" hidden="1"/>
    <cellStyle name="Followed Hyperlink" xfId="248" builtinId="9" hidden="1"/>
    <cellStyle name="Followed Hyperlink" xfId="337" builtinId="9" hidden="1"/>
    <cellStyle name="Followed Hyperlink" xfId="424" builtinId="9" hidden="1"/>
    <cellStyle name="Followed Hyperlink" xfId="510" builtinId="9" hidden="1"/>
    <cellStyle name="Followed Hyperlink" xfId="594" builtinId="9" hidden="1"/>
    <cellStyle name="Followed Hyperlink" xfId="404" builtinId="9" hidden="1"/>
    <cellStyle name="Followed Hyperlink" xfId="106" builtinId="9" hidden="1"/>
    <cellStyle name="Followed Hyperlink" xfId="178" builtinId="9" hidden="1"/>
    <cellStyle name="Followed Hyperlink" xfId="72" builtinId="9" hidden="1"/>
    <cellStyle name="Followed Hyperlink" xfId="6" builtinId="9" hidden="1"/>
    <cellStyle name="Followed Hyperlink" xfId="56" builtinId="9" hidden="1"/>
    <cellStyle name="Followed Hyperlink" xfId="162" builtinId="9" hidden="1"/>
    <cellStyle name="Followed Hyperlink" xfId="90" builtinId="9" hidden="1"/>
    <cellStyle name="Followed Hyperlink" xfId="460" builtinId="9" hidden="1"/>
    <cellStyle name="Followed Hyperlink" xfId="576" builtinId="9" hidden="1"/>
    <cellStyle name="Followed Hyperlink" xfId="490" builtinId="9" hidden="1"/>
    <cellStyle name="Followed Hyperlink" xfId="406" builtinId="9" hidden="1"/>
    <cellStyle name="Followed Hyperlink" xfId="319" builtinId="9" hidden="1"/>
    <cellStyle name="Followed Hyperlink" xfId="228" builtinId="9" hidden="1"/>
    <cellStyle name="Followed Hyperlink" xfId="697" builtinId="9" hidden="1"/>
    <cellStyle name="Followed Hyperlink" xfId="825" builtinId="9" hidden="1"/>
    <cellStyle name="Followed Hyperlink" xfId="956" builtinId="9" hidden="1"/>
    <cellStyle name="Followed Hyperlink" xfId="1085" builtinId="9" hidden="1"/>
    <cellStyle name="Followed Hyperlink" xfId="1217" builtinId="9" hidden="1"/>
    <cellStyle name="Followed Hyperlink" xfId="1346" builtinId="9" hidden="1"/>
    <cellStyle name="Followed Hyperlink" xfId="1474" builtinId="9" hidden="1"/>
    <cellStyle name="Followed Hyperlink" xfId="1599" builtinId="9" hidden="1"/>
    <cellStyle name="Followed Hyperlink" xfId="1727" builtinId="9" hidden="1"/>
    <cellStyle name="Followed Hyperlink" xfId="1853" builtinId="9" hidden="1"/>
    <cellStyle name="Followed Hyperlink" xfId="1981" builtinId="9" hidden="1"/>
    <cellStyle name="Followed Hyperlink" xfId="2112" builtinId="9" hidden="1"/>
    <cellStyle name="Followed Hyperlink" xfId="2241" builtinId="9" hidden="1"/>
    <cellStyle name="Followed Hyperlink" xfId="2369" builtinId="9" hidden="1"/>
    <cellStyle name="Followed Hyperlink" xfId="2494" builtinId="9" hidden="1"/>
    <cellStyle name="Followed Hyperlink" xfId="2622" builtinId="9" hidden="1"/>
    <cellStyle name="Followed Hyperlink" xfId="2752" builtinId="9" hidden="1"/>
    <cellStyle name="Followed Hyperlink" xfId="2880" builtinId="9" hidden="1"/>
    <cellStyle name="Followed Hyperlink" xfId="3014" builtinId="9" hidden="1"/>
    <cellStyle name="Followed Hyperlink" xfId="3143" builtinId="9" hidden="1"/>
    <cellStyle name="Followed Hyperlink" xfId="3271" builtinId="9" hidden="1"/>
    <cellStyle name="Followed Hyperlink" xfId="3396" builtinId="9" hidden="1"/>
    <cellStyle name="Followed Hyperlink" xfId="3524" builtinId="9" hidden="1"/>
    <cellStyle name="Followed Hyperlink" xfId="3653" builtinId="9" hidden="1"/>
    <cellStyle name="Followed Hyperlink" xfId="3781" builtinId="9" hidden="1"/>
    <cellStyle name="Followed Hyperlink" xfId="3913" builtinId="9" hidden="1"/>
    <cellStyle name="Followed Hyperlink" xfId="4042" builtinId="9" hidden="1"/>
    <cellStyle name="Followed Hyperlink" xfId="3870" builtinId="9" hidden="1"/>
    <cellStyle name="Followed Hyperlink" xfId="4295" builtinId="9" hidden="1"/>
    <cellStyle name="Followed Hyperlink" xfId="4423" builtinId="9" hidden="1"/>
    <cellStyle name="Followed Hyperlink" xfId="4544" builtinId="9" hidden="1"/>
    <cellStyle name="Followed Hyperlink" xfId="4672" builtinId="9" hidden="1"/>
    <cellStyle name="Followed Hyperlink" xfId="4806" builtinId="9" hidden="1"/>
    <cellStyle name="Followed Hyperlink" xfId="4935" builtinId="9" hidden="1"/>
    <cellStyle name="Followed Hyperlink" xfId="5060" builtinId="9" hidden="1"/>
    <cellStyle name="Followed Hyperlink" xfId="5188" builtinId="9" hidden="1"/>
    <cellStyle name="Followed Hyperlink" xfId="5316" builtinId="9" hidden="1"/>
    <cellStyle name="Followed Hyperlink" xfId="5446" builtinId="9" hidden="1"/>
    <cellStyle name="Followed Hyperlink" xfId="5574" builtinId="9" hidden="1"/>
    <cellStyle name="Followed Hyperlink" xfId="5705" builtinId="9" hidden="1"/>
    <cellStyle name="Followed Hyperlink" xfId="5834" builtinId="9" hidden="1"/>
    <cellStyle name="Followed Hyperlink" xfId="5959" builtinId="9" hidden="1"/>
    <cellStyle name="Followed Hyperlink" xfId="6087" builtinId="9" hidden="1"/>
    <cellStyle name="Followed Hyperlink" xfId="6215" builtinId="9" hidden="1"/>
    <cellStyle name="Followed Hyperlink" xfId="6333" builtinId="9" hidden="1"/>
    <cellStyle name="Followed Hyperlink" xfId="6461" builtinId="9" hidden="1"/>
    <cellStyle name="Followed Hyperlink" xfId="6591" builtinId="9" hidden="1"/>
    <cellStyle name="Followed Hyperlink" xfId="6720" builtinId="9" hidden="1"/>
    <cellStyle name="Followed Hyperlink" xfId="6845" builtinId="9" hidden="1"/>
    <cellStyle name="Followed Hyperlink" xfId="6973" builtinId="9" hidden="1"/>
    <cellStyle name="Followed Hyperlink" xfId="7101" builtinId="9" hidden="1"/>
    <cellStyle name="Followed Hyperlink" xfId="7229" builtinId="9" hidden="1"/>
    <cellStyle name="Followed Hyperlink" xfId="7357" builtinId="9" hidden="1"/>
    <cellStyle name="Followed Hyperlink" xfId="7488" builtinId="9" hidden="1"/>
    <cellStyle name="Followed Hyperlink" xfId="7616" builtinId="9" hidden="1"/>
    <cellStyle name="Followed Hyperlink" xfId="7741" builtinId="9" hidden="1"/>
    <cellStyle name="Followed Hyperlink" xfId="7869" builtinId="9" hidden="1"/>
    <cellStyle name="Followed Hyperlink" xfId="7997" builtinId="9" hidden="1"/>
    <cellStyle name="Followed Hyperlink" xfId="7879" builtinId="9" hidden="1"/>
    <cellStyle name="Followed Hyperlink" xfId="7751" builtinId="9" hidden="1"/>
    <cellStyle name="Followed Hyperlink" xfId="7626" builtinId="9" hidden="1"/>
    <cellStyle name="Followed Hyperlink" xfId="7498" builtinId="9" hidden="1"/>
    <cellStyle name="Followed Hyperlink" xfId="7367" builtinId="9" hidden="1"/>
    <cellStyle name="Followed Hyperlink" xfId="7239" builtinId="9" hidden="1"/>
    <cellStyle name="Followed Hyperlink" xfId="7111" builtinId="9" hidden="1"/>
    <cellStyle name="Followed Hyperlink" xfId="6983" builtinId="9" hidden="1"/>
    <cellStyle name="Followed Hyperlink" xfId="6855" builtinId="9" hidden="1"/>
    <cellStyle name="Followed Hyperlink" xfId="6730" builtinId="9" hidden="1"/>
    <cellStyle name="Followed Hyperlink" xfId="6602" builtinId="9" hidden="1"/>
    <cellStyle name="Followed Hyperlink" xfId="6471" builtinId="9" hidden="1"/>
    <cellStyle name="Followed Hyperlink" xfId="6343" builtinId="9" hidden="1"/>
    <cellStyle name="Followed Hyperlink" xfId="6225" builtinId="9" hidden="1"/>
    <cellStyle name="Followed Hyperlink" xfId="6097" builtinId="9" hidden="1"/>
    <cellStyle name="Followed Hyperlink" xfId="5969" builtinId="9" hidden="1"/>
    <cellStyle name="Followed Hyperlink" xfId="5844" builtinId="9" hidden="1"/>
    <cellStyle name="Followed Hyperlink" xfId="5715" builtinId="9" hidden="1"/>
    <cellStyle name="Followed Hyperlink" xfId="5584" builtinId="9" hidden="1"/>
    <cellStyle name="Followed Hyperlink" xfId="5456" builtinId="9" hidden="1"/>
    <cellStyle name="Followed Hyperlink" xfId="5326" builtinId="9" hidden="1"/>
    <cellStyle name="Followed Hyperlink" xfId="5198" builtinId="9" hidden="1"/>
    <cellStyle name="Followed Hyperlink" xfId="5070" builtinId="9" hidden="1"/>
    <cellStyle name="Followed Hyperlink" xfId="4945" builtinId="9" hidden="1"/>
    <cellStyle name="Followed Hyperlink" xfId="4816" builtinId="9" hidden="1"/>
    <cellStyle name="Followed Hyperlink" xfId="4682" builtinId="9" hidden="1"/>
    <cellStyle name="Followed Hyperlink" xfId="4554" builtinId="9" hidden="1"/>
    <cellStyle name="Followed Hyperlink" xfId="4433" builtinId="9" hidden="1"/>
    <cellStyle name="Followed Hyperlink" xfId="4305" builtinId="9" hidden="1"/>
    <cellStyle name="Followed Hyperlink" xfId="2656" builtinId="9" hidden="1"/>
    <cellStyle name="Followed Hyperlink" xfId="2744" builtinId="9" hidden="1"/>
    <cellStyle name="Followed Hyperlink" xfId="2834" builtinId="9" hidden="1"/>
    <cellStyle name="Followed Hyperlink" xfId="2914" builtinId="9" hidden="1"/>
    <cellStyle name="Followed Hyperlink" xfId="3008" builtinId="9" hidden="1"/>
    <cellStyle name="Followed Hyperlink" xfId="3097" builtinId="9" hidden="1"/>
    <cellStyle name="Followed Hyperlink" xfId="3177" builtinId="9" hidden="1"/>
    <cellStyle name="Followed Hyperlink" xfId="3265" builtinId="9" hidden="1"/>
    <cellStyle name="Followed Hyperlink" xfId="3350" builtinId="9" hidden="1"/>
    <cellStyle name="Followed Hyperlink" xfId="3430" builtinId="9" hidden="1"/>
    <cellStyle name="Followed Hyperlink" xfId="3518" builtinId="9" hidden="1"/>
    <cellStyle name="Followed Hyperlink" xfId="3607" builtinId="9" hidden="1"/>
    <cellStyle name="Followed Hyperlink" xfId="3687" builtinId="9" hidden="1"/>
    <cellStyle name="Followed Hyperlink" xfId="3775" builtinId="9" hidden="1"/>
    <cellStyle name="Followed Hyperlink" xfId="3863" builtinId="9" hidden="1"/>
    <cellStyle name="Followed Hyperlink" xfId="3948" builtinId="9" hidden="1"/>
    <cellStyle name="Followed Hyperlink" xfId="4036" builtinId="9" hidden="1"/>
    <cellStyle name="Followed Hyperlink" xfId="4124" builtinId="9" hidden="1"/>
    <cellStyle name="Followed Hyperlink" xfId="4201" builtinId="9" hidden="1"/>
    <cellStyle name="Followed Hyperlink" xfId="4084" builtinId="9" hidden="1"/>
    <cellStyle name="Followed Hyperlink" xfId="3823" builtinId="9" hidden="1"/>
    <cellStyle name="Followed Hyperlink" xfId="3566" builtinId="9" hidden="1"/>
    <cellStyle name="Followed Hyperlink" xfId="3310" builtinId="9" hidden="1"/>
    <cellStyle name="Followed Hyperlink" xfId="3057" builtinId="9" hidden="1"/>
    <cellStyle name="Followed Hyperlink" xfId="2794" builtinId="9" hidden="1"/>
    <cellStyle name="Followed Hyperlink" xfId="2187" builtinId="9" hidden="1"/>
    <cellStyle name="Followed Hyperlink" xfId="2259" builtinId="9" hidden="1"/>
    <cellStyle name="Followed Hyperlink" xfId="2331" builtinId="9" hidden="1"/>
    <cellStyle name="Followed Hyperlink" xfId="2400" builtinId="9" hidden="1"/>
    <cellStyle name="Followed Hyperlink" xfId="2480" builtinId="9" hidden="1"/>
    <cellStyle name="Followed Hyperlink" xfId="2552" builtinId="9" hidden="1"/>
    <cellStyle name="Followed Hyperlink" xfId="2600" builtinId="9" hidden="1"/>
    <cellStyle name="Followed Hyperlink" xfId="1991" builtinId="9" hidden="1"/>
    <cellStyle name="Followed Hyperlink" xfId="2055" builtinId="9" hidden="1"/>
    <cellStyle name="Followed Hyperlink" xfId="2130" builtinId="9" hidden="1"/>
    <cellStyle name="Followed Hyperlink" xfId="1911" builtinId="9" hidden="1"/>
    <cellStyle name="Followed Hyperlink" xfId="1959" builtinId="9" hidden="1"/>
    <cellStyle name="Followed Hyperlink" xfId="1831" builtinId="9" hidden="1"/>
    <cellStyle name="Followed Hyperlink" xfId="1871" builtinId="9" hidden="1"/>
    <cellStyle name="Followed Hyperlink" xfId="1935" builtinId="9" hidden="1"/>
    <cellStyle name="Followed Hyperlink" xfId="2154" builtinId="9" hidden="1"/>
    <cellStyle name="Followed Hyperlink" xfId="2079" builtinId="9" hidden="1"/>
    <cellStyle name="Followed Hyperlink" xfId="2015" builtinId="9" hidden="1"/>
    <cellStyle name="Followed Hyperlink" xfId="2408" builtinId="9" hidden="1"/>
    <cellStyle name="Followed Hyperlink" xfId="2576" builtinId="9" hidden="1"/>
    <cellStyle name="Followed Hyperlink" xfId="2504" builtinId="9" hidden="1"/>
    <cellStyle name="Followed Hyperlink" xfId="2432" builtinId="9" hidden="1"/>
    <cellStyle name="Followed Hyperlink" xfId="2363" builtinId="9" hidden="1"/>
    <cellStyle name="Followed Hyperlink" xfId="2291" builtinId="9" hidden="1"/>
    <cellStyle name="Followed Hyperlink" xfId="2211" builtinId="9" hidden="1"/>
    <cellStyle name="Followed Hyperlink" xfId="2696" builtinId="9" hidden="1"/>
    <cellStyle name="Followed Hyperlink" xfId="2954" builtinId="9" hidden="1"/>
    <cellStyle name="Followed Hyperlink" xfId="3217" builtinId="9" hidden="1"/>
    <cellStyle name="Followed Hyperlink" xfId="3470" builtinId="9" hidden="1"/>
    <cellStyle name="Followed Hyperlink" xfId="3727" builtinId="9" hidden="1"/>
    <cellStyle name="Followed Hyperlink" xfId="3988" builtinId="9" hidden="1"/>
    <cellStyle name="Followed Hyperlink" xfId="4233" builtinId="9" hidden="1"/>
    <cellStyle name="Followed Hyperlink" xfId="4156" builtinId="9" hidden="1"/>
    <cellStyle name="Followed Hyperlink" xfId="4068" builtinId="9" hidden="1"/>
    <cellStyle name="Followed Hyperlink" xfId="3980" builtinId="9" hidden="1"/>
    <cellStyle name="Followed Hyperlink" xfId="3899" builtinId="9" hidden="1"/>
    <cellStyle name="Followed Hyperlink" xfId="3807" builtinId="9" hidden="1"/>
    <cellStyle name="Followed Hyperlink" xfId="3719" builtinId="9" hidden="1"/>
    <cellStyle name="Followed Hyperlink" xfId="3639" builtinId="9" hidden="1"/>
    <cellStyle name="Followed Hyperlink" xfId="3550" builtinId="9" hidden="1"/>
    <cellStyle name="Followed Hyperlink" xfId="3462" builtinId="9" hidden="1"/>
    <cellStyle name="Followed Hyperlink" xfId="3382" builtinId="9" hidden="1"/>
    <cellStyle name="Followed Hyperlink" xfId="3294" builtinId="9" hidden="1"/>
    <cellStyle name="Followed Hyperlink" xfId="3209" builtinId="9" hidden="1"/>
    <cellStyle name="Followed Hyperlink" xfId="3129" builtinId="9" hidden="1"/>
    <cellStyle name="Followed Hyperlink" xfId="3040" builtinId="9" hidden="1"/>
    <cellStyle name="Followed Hyperlink" xfId="2946" builtinId="9" hidden="1"/>
    <cellStyle name="Followed Hyperlink" xfId="2866" builtinId="9" hidden="1"/>
    <cellStyle name="Followed Hyperlink" xfId="2778" builtinId="9" hidden="1"/>
    <cellStyle name="Followed Hyperlink" xfId="2688" builtinId="9" hidden="1"/>
    <cellStyle name="Followed Hyperlink" xfId="4257" builtinId="9" hidden="1"/>
    <cellStyle name="Followed Hyperlink" xfId="4385" builtinId="9" hidden="1"/>
    <cellStyle name="Followed Hyperlink" xfId="4504" builtinId="9" hidden="1"/>
    <cellStyle name="Followed Hyperlink" xfId="4634" builtinId="9" hidden="1"/>
    <cellStyle name="Followed Hyperlink" xfId="4768" builtinId="9" hidden="1"/>
    <cellStyle name="Followed Hyperlink" xfId="4897" builtinId="9" hidden="1"/>
    <cellStyle name="Followed Hyperlink" xfId="5025" builtinId="9" hidden="1"/>
    <cellStyle name="Followed Hyperlink" xfId="5150" builtinId="9" hidden="1"/>
    <cellStyle name="Followed Hyperlink" xfId="5278" builtinId="9" hidden="1"/>
    <cellStyle name="Followed Hyperlink" xfId="5408" builtinId="9" hidden="1"/>
    <cellStyle name="Followed Hyperlink" xfId="5536" builtinId="9" hidden="1"/>
    <cellStyle name="Followed Hyperlink" xfId="5667" builtinId="9" hidden="1"/>
    <cellStyle name="Followed Hyperlink" xfId="5796" builtinId="9" hidden="1"/>
    <cellStyle name="Followed Hyperlink" xfId="5924" builtinId="9" hidden="1"/>
    <cellStyle name="Followed Hyperlink" xfId="6049" builtinId="9" hidden="1"/>
    <cellStyle name="Followed Hyperlink" xfId="6177" builtinId="9" hidden="1"/>
    <cellStyle name="Followed Hyperlink" xfId="6295" builtinId="9" hidden="1"/>
    <cellStyle name="Followed Hyperlink" xfId="6423" builtinId="9" hidden="1"/>
    <cellStyle name="Followed Hyperlink" xfId="6553" builtinId="9" hidden="1"/>
    <cellStyle name="Followed Hyperlink" xfId="6682" builtinId="9" hidden="1"/>
    <cellStyle name="Followed Hyperlink" xfId="6810" builtinId="9" hidden="1"/>
    <cellStyle name="Followed Hyperlink" xfId="6935" builtinId="9" hidden="1"/>
    <cellStyle name="Followed Hyperlink" xfId="7063" builtinId="9" hidden="1"/>
    <cellStyle name="Followed Hyperlink" xfId="7191" builtinId="9" hidden="1"/>
    <cellStyle name="Followed Hyperlink" xfId="7319" builtinId="9" hidden="1"/>
    <cellStyle name="Followed Hyperlink" xfId="7449" builtinId="9" hidden="1"/>
    <cellStyle name="Followed Hyperlink" xfId="7578" builtinId="9" hidden="1"/>
    <cellStyle name="Followed Hyperlink" xfId="7706" builtinId="9" hidden="1"/>
    <cellStyle name="Followed Hyperlink" xfId="7831" builtinId="9" hidden="1"/>
    <cellStyle name="Followed Hyperlink" xfId="7959" builtinId="9" hidden="1"/>
    <cellStyle name="Followed Hyperlink" xfId="7917" builtinId="9" hidden="1"/>
    <cellStyle name="Followed Hyperlink" xfId="7789" builtinId="9" hidden="1"/>
    <cellStyle name="Followed Hyperlink" xfId="7664" builtinId="9" hidden="1"/>
    <cellStyle name="Followed Hyperlink" xfId="7536" builtinId="9" hidden="1"/>
    <cellStyle name="Followed Hyperlink" xfId="7405" builtinId="9" hidden="1"/>
    <cellStyle name="Followed Hyperlink" xfId="7277" builtinId="9" hidden="1"/>
    <cellStyle name="Followed Hyperlink" xfId="7149" builtinId="9" hidden="1"/>
    <cellStyle name="Followed Hyperlink" xfId="7021" builtinId="9" hidden="1"/>
    <cellStyle name="Followed Hyperlink" xfId="6893" builtinId="9" hidden="1"/>
    <cellStyle name="Followed Hyperlink" xfId="6768" builtinId="9" hidden="1"/>
    <cellStyle name="Followed Hyperlink" xfId="6640" builtinId="9" hidden="1"/>
    <cellStyle name="Followed Hyperlink" xfId="6509" builtinId="9" hidden="1"/>
    <cellStyle name="Followed Hyperlink" xfId="6381" builtinId="9" hidden="1"/>
    <cellStyle name="Followed Hyperlink" xfId="6253" builtinId="9" hidden="1"/>
    <cellStyle name="Followed Hyperlink" xfId="6135" builtinId="9" hidden="1"/>
    <cellStyle name="Followed Hyperlink" xfId="6007" builtinId="9" hidden="1"/>
    <cellStyle name="Followed Hyperlink" xfId="5882" builtinId="9" hidden="1"/>
    <cellStyle name="Followed Hyperlink" xfId="5754" builtinId="9" hidden="1"/>
    <cellStyle name="Followed Hyperlink" xfId="5622" builtinId="9" hidden="1"/>
    <cellStyle name="Followed Hyperlink" xfId="5494" builtinId="9" hidden="1"/>
    <cellStyle name="Followed Hyperlink" xfId="5366" builtinId="9" hidden="1"/>
    <cellStyle name="Followed Hyperlink" xfId="5236" builtinId="9" hidden="1"/>
    <cellStyle name="Followed Hyperlink" xfId="5108" builtinId="9" hidden="1"/>
    <cellStyle name="Followed Hyperlink" xfId="4983" builtinId="9" hidden="1"/>
    <cellStyle name="Followed Hyperlink" xfId="4855" builtinId="9" hidden="1"/>
    <cellStyle name="Followed Hyperlink" xfId="4720" builtinId="9" hidden="1"/>
    <cellStyle name="Followed Hyperlink" xfId="4592" builtinId="9" hidden="1"/>
    <cellStyle name="Followed Hyperlink" xfId="4462" builtinId="9" hidden="1"/>
    <cellStyle name="Followed Hyperlink" xfId="4343" builtinId="9" hidden="1"/>
    <cellStyle name="Followed Hyperlink" xfId="4215" builtinId="9" hidden="1"/>
    <cellStyle name="Followed Hyperlink" xfId="4090" builtinId="9" hidden="1"/>
    <cellStyle name="Followed Hyperlink" xfId="3962" builtinId="9" hidden="1"/>
    <cellStyle name="Followed Hyperlink" xfId="3829" builtinId="9" hidden="1"/>
    <cellStyle name="Followed Hyperlink" xfId="3701" builtinId="9" hidden="1"/>
    <cellStyle name="Followed Hyperlink" xfId="3573" builtinId="9" hidden="1"/>
    <cellStyle name="Followed Hyperlink" xfId="3444" builtinId="9" hidden="1"/>
    <cellStyle name="Followed Hyperlink" xfId="3316" builtinId="9" hidden="1"/>
    <cellStyle name="Followed Hyperlink" xfId="3191" builtinId="9" hidden="1"/>
    <cellStyle name="Followed Hyperlink" xfId="3063" builtinId="9" hidden="1"/>
    <cellStyle name="Followed Hyperlink" xfId="2928" builtinId="9" hidden="1"/>
    <cellStyle name="Followed Hyperlink" xfId="2800" builtinId="9" hidden="1"/>
    <cellStyle name="Followed Hyperlink" xfId="2670" builtinId="9" hidden="1"/>
    <cellStyle name="Followed Hyperlink" xfId="2542" builtinId="9" hidden="1"/>
    <cellStyle name="Followed Hyperlink" xfId="2414" builtinId="9" hidden="1"/>
    <cellStyle name="Followed Hyperlink" xfId="2289" builtinId="9" hidden="1"/>
    <cellStyle name="Followed Hyperlink" xfId="2161" builtinId="9" hidden="1"/>
    <cellStyle name="Followed Hyperlink" xfId="2029" builtinId="9" hidden="1"/>
    <cellStyle name="Followed Hyperlink" xfId="1901" builtinId="9" hidden="1"/>
    <cellStyle name="Followed Hyperlink" xfId="1775" builtinId="9" hidden="1"/>
    <cellStyle name="Followed Hyperlink" xfId="1647" builtinId="9" hidden="1"/>
    <cellStyle name="Followed Hyperlink" xfId="1519" builtinId="9" hidden="1"/>
    <cellStyle name="Followed Hyperlink" xfId="1394" builtinId="9" hidden="1"/>
    <cellStyle name="Followed Hyperlink" xfId="1265" builtinId="9" hidden="1"/>
    <cellStyle name="Followed Hyperlink" xfId="1133" builtinId="9" hidden="1"/>
    <cellStyle name="Followed Hyperlink" xfId="1005" builtinId="9" hidden="1"/>
    <cellStyle name="Followed Hyperlink" xfId="873" builtinId="9" hidden="1"/>
    <cellStyle name="Followed Hyperlink" xfId="745" builtinId="9" hidden="1"/>
    <cellStyle name="Followed Hyperlink" xfId="617" builtinId="9" hidden="1"/>
    <cellStyle name="Followed Hyperlink" xfId="282" builtinId="9" hidden="1"/>
    <cellStyle name="Followed Hyperlink" xfId="373" builtinId="9" hidden="1"/>
    <cellStyle name="Followed Hyperlink" xfId="458" builtinId="9" hidden="1"/>
    <cellStyle name="Followed Hyperlink" xfId="544" builtinId="9" hidden="1"/>
    <cellStyle name="Followed Hyperlink" xfId="556" builtinId="9" hidden="1"/>
    <cellStyle name="Followed Hyperlink" xfId="294" builtinId="9" hidden="1"/>
    <cellStyle name="Followed Hyperlink" xfId="136" builtinId="9" hidden="1"/>
    <cellStyle name="Followed Hyperlink" xfId="166" builtinId="9" hidden="1"/>
    <cellStyle name="Followed Hyperlink" xfId="28" builtinId="9" hidden="1"/>
    <cellStyle name="Followed Hyperlink" xfId="26" builtinId="9" hidden="1"/>
    <cellStyle name="Followed Hyperlink" xfId="182" builtinId="9" hidden="1"/>
    <cellStyle name="Followed Hyperlink" xfId="132" builtinId="9" hidden="1"/>
    <cellStyle name="Followed Hyperlink" xfId="307" builtinId="9" hidden="1"/>
    <cellStyle name="Followed Hyperlink" xfId="564" builtinId="9" hidden="1"/>
    <cellStyle name="Followed Hyperlink" xfId="542" builtinId="9" hidden="1"/>
    <cellStyle name="Followed Hyperlink" xfId="456" builtinId="9" hidden="1"/>
    <cellStyle name="Followed Hyperlink" xfId="369" builtinId="9" hidden="1"/>
    <cellStyle name="Followed Hyperlink" xfId="280" builtinId="9" hidden="1"/>
    <cellStyle name="Followed Hyperlink" xfId="621" builtinId="9" hidden="1"/>
    <cellStyle name="Followed Hyperlink" xfId="749" builtinId="9" hidden="1"/>
    <cellStyle name="Followed Hyperlink" xfId="877" builtinId="9" hidden="1"/>
    <cellStyle name="Followed Hyperlink" xfId="1009" builtinId="9" hidden="1"/>
    <cellStyle name="Followed Hyperlink" xfId="1137" builtinId="9" hidden="1"/>
    <cellStyle name="Followed Hyperlink" xfId="1269" builtinId="9" hidden="1"/>
    <cellStyle name="Followed Hyperlink" xfId="1398" builtinId="9" hidden="1"/>
    <cellStyle name="Followed Hyperlink" xfId="1523" builtinId="9" hidden="1"/>
    <cellStyle name="Followed Hyperlink" xfId="1651" builtinId="9" hidden="1"/>
    <cellStyle name="Followed Hyperlink" xfId="1779" builtinId="9" hidden="1"/>
    <cellStyle name="Followed Hyperlink" xfId="1905" builtinId="9" hidden="1"/>
    <cellStyle name="Followed Hyperlink" xfId="2033" builtinId="9" hidden="1"/>
    <cellStyle name="Followed Hyperlink" xfId="2165" builtinId="9" hidden="1"/>
    <cellStyle name="Followed Hyperlink" xfId="2293" builtinId="9" hidden="1"/>
    <cellStyle name="Followed Hyperlink" xfId="2418" builtinId="9" hidden="1"/>
    <cellStyle name="Followed Hyperlink" xfId="2546" builtinId="9" hidden="1"/>
    <cellStyle name="Followed Hyperlink" xfId="2674" builtinId="9" hidden="1"/>
    <cellStyle name="Followed Hyperlink" xfId="2804" builtinId="9" hidden="1"/>
    <cellStyle name="Followed Hyperlink" xfId="2932" builtinId="9" hidden="1"/>
    <cellStyle name="Followed Hyperlink" xfId="3067" builtinId="9" hidden="1"/>
    <cellStyle name="Followed Hyperlink" xfId="3195" builtinId="9" hidden="1"/>
    <cellStyle name="Followed Hyperlink" xfId="3320" builtinId="9" hidden="1"/>
    <cellStyle name="Followed Hyperlink" xfId="3448" builtinId="9" hidden="1"/>
    <cellStyle name="Followed Hyperlink" xfId="3577" builtinId="9" hidden="1"/>
    <cellStyle name="Followed Hyperlink" xfId="3705" builtinId="9" hidden="1"/>
    <cellStyle name="Followed Hyperlink" xfId="3833" builtinId="9" hidden="1"/>
    <cellStyle name="Followed Hyperlink" xfId="3966" builtinId="9" hidden="1"/>
    <cellStyle name="Followed Hyperlink" xfId="4094" builtinId="9" hidden="1"/>
    <cellStyle name="Followed Hyperlink" xfId="4219" builtinId="9" hidden="1"/>
    <cellStyle name="Followed Hyperlink" xfId="4347" builtinId="9" hidden="1"/>
    <cellStyle name="Followed Hyperlink" xfId="4466" builtinId="9" hidden="1"/>
    <cellStyle name="Followed Hyperlink" xfId="4596" builtinId="9" hidden="1"/>
    <cellStyle name="Followed Hyperlink" xfId="4724" builtinId="9" hidden="1"/>
    <cellStyle name="Followed Hyperlink" xfId="4859" builtinId="9" hidden="1"/>
    <cellStyle name="Followed Hyperlink" xfId="4987" builtinId="9" hidden="1"/>
    <cellStyle name="Followed Hyperlink" xfId="5112" builtinId="9" hidden="1"/>
    <cellStyle name="Followed Hyperlink" xfId="5240" builtinId="9" hidden="1"/>
    <cellStyle name="Followed Hyperlink" xfId="5370" builtinId="9" hidden="1"/>
    <cellStyle name="Followed Hyperlink" xfId="5498" builtinId="9" hidden="1"/>
    <cellStyle name="Followed Hyperlink" xfId="5626" builtinId="9" hidden="1"/>
    <cellStyle name="Followed Hyperlink" xfId="5758" builtinId="9" hidden="1"/>
    <cellStyle name="Followed Hyperlink" xfId="5886" builtinId="9" hidden="1"/>
    <cellStyle name="Followed Hyperlink" xfId="6011" builtinId="9" hidden="1"/>
    <cellStyle name="Followed Hyperlink" xfId="6139" builtinId="9" hidden="1"/>
    <cellStyle name="Followed Hyperlink" xfId="6257" builtinId="9" hidden="1"/>
    <cellStyle name="Followed Hyperlink" xfId="6385" builtinId="9" hidden="1"/>
    <cellStyle name="Followed Hyperlink" xfId="6513" builtinId="9" hidden="1"/>
    <cellStyle name="Followed Hyperlink" xfId="6644" builtinId="9" hidden="1"/>
    <cellStyle name="Followed Hyperlink" xfId="6772" builtinId="9" hidden="1"/>
    <cellStyle name="Followed Hyperlink" xfId="6897" builtinId="9" hidden="1"/>
    <cellStyle name="Followed Hyperlink" xfId="7025" builtinId="9" hidden="1"/>
    <cellStyle name="Followed Hyperlink" xfId="7153" builtinId="9" hidden="1"/>
    <cellStyle name="Followed Hyperlink" xfId="7281" builtinId="9" hidden="1"/>
    <cellStyle name="Followed Hyperlink" xfId="7409" builtinId="9" hidden="1"/>
    <cellStyle name="Followed Hyperlink" xfId="7540" builtinId="9" hidden="1"/>
    <cellStyle name="Followed Hyperlink" xfId="7668" builtinId="9" hidden="1"/>
    <cellStyle name="Followed Hyperlink" xfId="7793" builtinId="9" hidden="1"/>
    <cellStyle name="Followed Hyperlink" xfId="7921" builtinId="9" hidden="1"/>
    <cellStyle name="Followed Hyperlink" xfId="7955" builtinId="9" hidden="1"/>
    <cellStyle name="Followed Hyperlink" xfId="7827" builtinId="9" hidden="1"/>
    <cellStyle name="Followed Hyperlink" xfId="7702" builtinId="9" hidden="1"/>
    <cellStyle name="Followed Hyperlink" xfId="7574" builtinId="9" hidden="1"/>
    <cellStyle name="Followed Hyperlink" xfId="7445" builtinId="9" hidden="1"/>
    <cellStyle name="Followed Hyperlink" xfId="7315" builtinId="9" hidden="1"/>
    <cellStyle name="Followed Hyperlink" xfId="7187" builtinId="9" hidden="1"/>
    <cellStyle name="Followed Hyperlink" xfId="7059" builtinId="9" hidden="1"/>
    <cellStyle name="Followed Hyperlink" xfId="6931" builtinId="9" hidden="1"/>
    <cellStyle name="Followed Hyperlink" xfId="6806" builtinId="9" hidden="1"/>
    <cellStyle name="Followed Hyperlink" xfId="6678" builtinId="9" hidden="1"/>
    <cellStyle name="Followed Hyperlink" xfId="6549" builtinId="9" hidden="1"/>
    <cellStyle name="Followed Hyperlink" xfId="6419" builtinId="9" hidden="1"/>
    <cellStyle name="Followed Hyperlink" xfId="6291" builtinId="9" hidden="1"/>
    <cellStyle name="Followed Hyperlink" xfId="6173" builtinId="9" hidden="1"/>
    <cellStyle name="Followed Hyperlink" xfId="6045" builtinId="9" hidden="1"/>
    <cellStyle name="Followed Hyperlink" xfId="5920" builtinId="9" hidden="1"/>
    <cellStyle name="Followed Hyperlink" xfId="5792" builtinId="9" hidden="1"/>
    <cellStyle name="Followed Hyperlink" xfId="5663" builtinId="9" hidden="1"/>
    <cellStyle name="Followed Hyperlink" xfId="5532" builtinId="9" hidden="1"/>
    <cellStyle name="Followed Hyperlink" xfId="5404" builtinId="9" hidden="1"/>
    <cellStyle name="Followed Hyperlink" xfId="5274" builtinId="9" hidden="1"/>
    <cellStyle name="Followed Hyperlink" xfId="5146" builtinId="9" hidden="1"/>
    <cellStyle name="Followed Hyperlink" xfId="5021" builtinId="9" hidden="1"/>
    <cellStyle name="Followed Hyperlink" xfId="4893" builtinId="9" hidden="1"/>
    <cellStyle name="Followed Hyperlink" xfId="4764" builtinId="9" hidden="1"/>
    <cellStyle name="Followed Hyperlink" xfId="4630" builtinId="9" hidden="1"/>
    <cellStyle name="Followed Hyperlink" xfId="4500" builtinId="9" hidden="1"/>
    <cellStyle name="Followed Hyperlink" xfId="4381" builtinId="9" hidden="1"/>
    <cellStyle name="Followed Hyperlink" xfId="4253" builtinId="9" hidden="1"/>
    <cellStyle name="Followed Hyperlink" xfId="4128" builtinId="9" hidden="1"/>
    <cellStyle name="Followed Hyperlink" xfId="4000" builtinId="9" hidden="1"/>
    <cellStyle name="Followed Hyperlink" xfId="3871" builtinId="9" hidden="1"/>
    <cellStyle name="Followed Hyperlink" xfId="3739" builtinId="9" hidden="1"/>
    <cellStyle name="Followed Hyperlink" xfId="3611" builtinId="9" hidden="1"/>
    <cellStyle name="Followed Hyperlink" xfId="3482" builtinId="9" hidden="1"/>
    <cellStyle name="Followed Hyperlink" xfId="3354" builtinId="9" hidden="1"/>
    <cellStyle name="Followed Hyperlink" xfId="3229" builtinId="9" hidden="1"/>
    <cellStyle name="Followed Hyperlink" xfId="3101" builtinId="9" hidden="1"/>
    <cellStyle name="Followed Hyperlink" xfId="2966" builtinId="9" hidden="1"/>
    <cellStyle name="Followed Hyperlink" xfId="2838" builtinId="9" hidden="1"/>
    <cellStyle name="Followed Hyperlink" xfId="2708" builtinId="9" hidden="1"/>
    <cellStyle name="Followed Hyperlink" xfId="2580" builtinId="9" hidden="1"/>
    <cellStyle name="Followed Hyperlink" xfId="2452" builtinId="9" hidden="1"/>
    <cellStyle name="Followed Hyperlink" xfId="2327" builtinId="9" hidden="1"/>
    <cellStyle name="Followed Hyperlink" xfId="2199" builtinId="9" hidden="1"/>
    <cellStyle name="Followed Hyperlink" xfId="2067" builtinId="9" hidden="1"/>
    <cellStyle name="Followed Hyperlink" xfId="1939" builtinId="9" hidden="1"/>
    <cellStyle name="Followed Hyperlink" xfId="1015" builtinId="9" hidden="1"/>
    <cellStyle name="Followed Hyperlink" xfId="1103" builtinId="9" hidden="1"/>
    <cellStyle name="Followed Hyperlink" xfId="1187" builtinId="9" hidden="1"/>
    <cellStyle name="Followed Hyperlink" xfId="1276" builtinId="9" hidden="1"/>
    <cellStyle name="Followed Hyperlink" xfId="1364" builtinId="9" hidden="1"/>
    <cellStyle name="Followed Hyperlink" xfId="1448" builtinId="9" hidden="1"/>
    <cellStyle name="Followed Hyperlink" xfId="1529" builtinId="9" hidden="1"/>
    <cellStyle name="Followed Hyperlink" xfId="1617" builtinId="9" hidden="1"/>
    <cellStyle name="Followed Hyperlink" xfId="1701" builtinId="9" hidden="1"/>
    <cellStyle name="Followed Hyperlink" xfId="1785" builtinId="9" hidden="1"/>
    <cellStyle name="Followed Hyperlink" xfId="1661" builtinId="9" hidden="1"/>
    <cellStyle name="Followed Hyperlink" xfId="1408" builtinId="9" hidden="1"/>
    <cellStyle name="Followed Hyperlink" xfId="1147" builtinId="9" hidden="1"/>
    <cellStyle name="Followed Hyperlink" xfId="815" builtinId="9" hidden="1"/>
    <cellStyle name="Followed Hyperlink" xfId="887" builtinId="9" hidden="1"/>
    <cellStyle name="Followed Hyperlink" xfId="962" builtinId="9" hidden="1"/>
    <cellStyle name="Followed Hyperlink" xfId="839" builtinId="9" hidden="1"/>
    <cellStyle name="Followed Hyperlink" xfId="751" builtinId="9" hidden="1"/>
    <cellStyle name="Followed Hyperlink" xfId="675" builtinId="9" hidden="1"/>
    <cellStyle name="Followed Hyperlink" xfId="619" builtinId="9" hidden="1"/>
    <cellStyle name="Followed Hyperlink" xfId="647" builtinId="9" hidden="1"/>
    <cellStyle name="Followed Hyperlink" xfId="719" builtinId="9" hidden="1"/>
    <cellStyle name="Followed Hyperlink" xfId="1007" builtinId="9" hidden="1"/>
    <cellStyle name="Followed Hyperlink" xfId="930" builtinId="9" hidden="1"/>
    <cellStyle name="Followed Hyperlink" xfId="855" builtinId="9" hidden="1"/>
    <cellStyle name="Followed Hyperlink" xfId="783" builtinId="9" hidden="1"/>
    <cellStyle name="Followed Hyperlink" xfId="1263" builtinId="9" hidden="1"/>
    <cellStyle name="Followed Hyperlink" xfId="1517" builtinId="9" hidden="1"/>
    <cellStyle name="Followed Hyperlink" xfId="1773" builtinId="9" hidden="1"/>
    <cellStyle name="Followed Hyperlink" xfId="1749" builtinId="9" hidden="1"/>
    <cellStyle name="Followed Hyperlink" xfId="1665" builtinId="9" hidden="1"/>
    <cellStyle name="Followed Hyperlink" xfId="1577" builtinId="9" hidden="1"/>
    <cellStyle name="Followed Hyperlink" xfId="1272" builtinId="9" hidden="1"/>
    <cellStyle name="Followed Hyperlink" xfId="1412" builtinId="9" hidden="1"/>
    <cellStyle name="Followed Hyperlink" xfId="1324" builtinId="9" hidden="1"/>
    <cellStyle name="Followed Hyperlink" xfId="1239" builtinId="9" hidden="1"/>
    <cellStyle name="Followed Hyperlink" xfId="1151" builtinId="9" hidden="1"/>
    <cellStyle name="Followed Hyperlink" xfId="1063" builtinId="9" hidden="1"/>
    <cellStyle name="Followed Hyperlink" xfId="1867" builtinId="9" hidden="1"/>
    <cellStyle name="Followed Hyperlink" xfId="1995" builtinId="9" hidden="1"/>
    <cellStyle name="Followed Hyperlink" xfId="2126" builtinId="9" hidden="1"/>
    <cellStyle name="Followed Hyperlink" xfId="2255" builtinId="9" hidden="1"/>
    <cellStyle name="Followed Hyperlink" xfId="2159" builtinId="9" hidden="1"/>
    <cellStyle name="Followed Hyperlink" xfId="2508" builtinId="9" hidden="1"/>
    <cellStyle name="Followed Hyperlink" xfId="2636" builtinId="9" hidden="1"/>
    <cellStyle name="Followed Hyperlink" xfId="2766" builtinId="9" hidden="1"/>
    <cellStyle name="Followed Hyperlink" xfId="2894" builtinId="9" hidden="1"/>
    <cellStyle name="Followed Hyperlink" xfId="3028" builtinId="9" hidden="1"/>
    <cellStyle name="Followed Hyperlink" xfId="3157" builtinId="9" hidden="1"/>
    <cellStyle name="Followed Hyperlink" xfId="3282" builtinId="9" hidden="1"/>
    <cellStyle name="Followed Hyperlink" xfId="3410" builtinId="9" hidden="1"/>
    <cellStyle name="Followed Hyperlink" xfId="3538" builtinId="9" hidden="1"/>
    <cellStyle name="Followed Hyperlink" xfId="3667" builtinId="9" hidden="1"/>
    <cellStyle name="Followed Hyperlink" xfId="3795" builtinId="9" hidden="1"/>
    <cellStyle name="Followed Hyperlink" xfId="3927" builtinId="9" hidden="1"/>
    <cellStyle name="Followed Hyperlink" xfId="4056" builtinId="9" hidden="1"/>
    <cellStyle name="Followed Hyperlink" xfId="4181" builtinId="9" hidden="1"/>
    <cellStyle name="Followed Hyperlink" xfId="4309" builtinId="9" hidden="1"/>
    <cellStyle name="Followed Hyperlink" xfId="4437" builtinId="9" hidden="1"/>
    <cellStyle name="Followed Hyperlink" xfId="4558" builtinId="9" hidden="1"/>
    <cellStyle name="Followed Hyperlink" xfId="4686" builtinId="9" hidden="1"/>
    <cellStyle name="Followed Hyperlink" xfId="4820" builtinId="9" hidden="1"/>
    <cellStyle name="Followed Hyperlink" xfId="4949" builtinId="9" hidden="1"/>
    <cellStyle name="Followed Hyperlink" xfId="5074" builtinId="9" hidden="1"/>
    <cellStyle name="Followed Hyperlink" xfId="5202" builtinId="9" hidden="1"/>
    <cellStyle name="Followed Hyperlink" xfId="5330" builtinId="9" hidden="1"/>
    <cellStyle name="Followed Hyperlink" xfId="5460" builtinId="9" hidden="1"/>
    <cellStyle name="Followed Hyperlink" xfId="5588" builtinId="9" hidden="1"/>
    <cellStyle name="Followed Hyperlink" xfId="5719" builtinId="9" hidden="1"/>
    <cellStyle name="Followed Hyperlink" xfId="5848" builtinId="9" hidden="1"/>
    <cellStyle name="Followed Hyperlink" xfId="5973" builtinId="9" hidden="1"/>
    <cellStyle name="Followed Hyperlink" xfId="6101" builtinId="9" hidden="1"/>
    <cellStyle name="Followed Hyperlink" xfId="6229" builtinId="9" hidden="1"/>
    <cellStyle name="Followed Hyperlink" xfId="6347" builtinId="9" hidden="1"/>
    <cellStyle name="Followed Hyperlink" xfId="6475" builtinId="9" hidden="1"/>
    <cellStyle name="Followed Hyperlink" xfId="6606" builtinId="9" hidden="1"/>
    <cellStyle name="Followed Hyperlink" xfId="6734" builtinId="9" hidden="1"/>
    <cellStyle name="Followed Hyperlink" xfId="6859" builtinId="9" hidden="1"/>
    <cellStyle name="Followed Hyperlink" xfId="6987" builtinId="9" hidden="1"/>
    <cellStyle name="Followed Hyperlink" xfId="7115" builtinId="9" hidden="1"/>
    <cellStyle name="Followed Hyperlink" xfId="7243" builtinId="9" hidden="1"/>
    <cellStyle name="Followed Hyperlink" xfId="7371" builtinId="9" hidden="1"/>
    <cellStyle name="Followed Hyperlink" xfId="7502" builtinId="9" hidden="1"/>
    <cellStyle name="Followed Hyperlink" xfId="7630" builtinId="9" hidden="1"/>
    <cellStyle name="Followed Hyperlink" xfId="7755" builtinId="9" hidden="1"/>
    <cellStyle name="Followed Hyperlink" xfId="7883" builtinId="9" hidden="1"/>
    <cellStyle name="Followed Hyperlink" xfId="7993" builtinId="9" hidden="1"/>
    <cellStyle name="Followed Hyperlink" xfId="7865" builtinId="9" hidden="1"/>
    <cellStyle name="Followed Hyperlink" xfId="7737" builtinId="9" hidden="1"/>
    <cellStyle name="Followed Hyperlink" xfId="7612" builtinId="9" hidden="1"/>
    <cellStyle name="Followed Hyperlink" xfId="7483" builtinId="9" hidden="1"/>
    <cellStyle name="Followed Hyperlink" xfId="7353" builtinId="9" hidden="1"/>
    <cellStyle name="Followed Hyperlink" xfId="7225" builtinId="9" hidden="1"/>
    <cellStyle name="Followed Hyperlink" xfId="7097" builtinId="9" hidden="1"/>
    <cellStyle name="Followed Hyperlink" xfId="6969" builtinId="9" hidden="1"/>
    <cellStyle name="Followed Hyperlink" xfId="6841" builtinId="9" hidden="1"/>
    <cellStyle name="Followed Hyperlink" xfId="6716" builtinId="9" hidden="1"/>
    <cellStyle name="Followed Hyperlink" xfId="6587" builtinId="9" hidden="1"/>
    <cellStyle name="Followed Hyperlink" xfId="6457" builtinId="9" hidden="1"/>
    <cellStyle name="Followed Hyperlink" xfId="6329" builtinId="9" hidden="1"/>
    <cellStyle name="Followed Hyperlink" xfId="6211" builtinId="9" hidden="1"/>
    <cellStyle name="Followed Hyperlink" xfId="6083" builtinId="9" hidden="1"/>
    <cellStyle name="Followed Hyperlink" xfId="5955" builtinId="9" hidden="1"/>
    <cellStyle name="Followed Hyperlink" xfId="5830" builtinId="9" hidden="1"/>
    <cellStyle name="Followed Hyperlink" xfId="5701" builtinId="9" hidden="1"/>
    <cellStyle name="Followed Hyperlink" xfId="5570" builtinId="9" hidden="1"/>
    <cellStyle name="Followed Hyperlink" xfId="5442" builtinId="9" hidden="1"/>
    <cellStyle name="Followed Hyperlink" xfId="5312" builtinId="9" hidden="1"/>
    <cellStyle name="Followed Hyperlink" xfId="5184" builtinId="9" hidden="1"/>
    <cellStyle name="Followed Hyperlink" xfId="5056" builtinId="9" hidden="1"/>
    <cellStyle name="Followed Hyperlink" xfId="4931" builtinId="9" hidden="1"/>
    <cellStyle name="Followed Hyperlink" xfId="4802" builtinId="9" hidden="1"/>
    <cellStyle name="Followed Hyperlink" xfId="4668" builtinId="9" hidden="1"/>
    <cellStyle name="Followed Hyperlink" xfId="4540" builtinId="9" hidden="1"/>
    <cellStyle name="Followed Hyperlink" xfId="4419" builtinId="9" hidden="1"/>
    <cellStyle name="Followed Hyperlink" xfId="4291" builtinId="9" hidden="1"/>
    <cellStyle name="Followed Hyperlink" xfId="4166" builtinId="9" hidden="1"/>
    <cellStyle name="Followed Hyperlink" xfId="4038" builtinId="9" hidden="1"/>
    <cellStyle name="Followed Hyperlink" xfId="3909" builtinId="9" hidden="1"/>
    <cellStyle name="Followed Hyperlink" xfId="3777" builtinId="9" hidden="1"/>
    <cellStyle name="Followed Hyperlink" xfId="3649" builtinId="9" hidden="1"/>
    <cellStyle name="Followed Hyperlink" xfId="3520" builtinId="9" hidden="1"/>
    <cellStyle name="Followed Hyperlink" xfId="3392" builtinId="9" hidden="1"/>
    <cellStyle name="Followed Hyperlink" xfId="3267" builtinId="9" hidden="1"/>
    <cellStyle name="Followed Hyperlink" xfId="3139" builtinId="9" hidden="1"/>
    <cellStyle name="Followed Hyperlink" xfId="3010" builtinId="9" hidden="1"/>
    <cellStyle name="Followed Hyperlink" xfId="2876" builtinId="9" hidden="1"/>
    <cellStyle name="Followed Hyperlink" xfId="2746" builtinId="9" hidden="1"/>
    <cellStyle name="Followed Hyperlink" xfId="2618" builtinId="9" hidden="1"/>
    <cellStyle name="Followed Hyperlink" xfId="2490" builtinId="9" hidden="1"/>
    <cellStyle name="Followed Hyperlink" xfId="2365" builtinId="9" hidden="1"/>
    <cellStyle name="Followed Hyperlink" xfId="2237" builtinId="9" hidden="1"/>
    <cellStyle name="Followed Hyperlink" xfId="2108" builtinId="9" hidden="1"/>
    <cellStyle name="Followed Hyperlink" xfId="1977" builtinId="9" hidden="1"/>
    <cellStyle name="Followed Hyperlink" xfId="1849" builtinId="9" hidden="1"/>
    <cellStyle name="Followed Hyperlink" xfId="1723" builtinId="9" hidden="1"/>
    <cellStyle name="Followed Hyperlink" xfId="1595" builtinId="9" hidden="1"/>
    <cellStyle name="Followed Hyperlink" xfId="1470" builtinId="9" hidden="1"/>
    <cellStyle name="Followed Hyperlink" xfId="1342" builtinId="9" hidden="1"/>
    <cellStyle name="Followed Hyperlink" xfId="1213" builtinId="9" hidden="1"/>
    <cellStyle name="Followed Hyperlink" xfId="1081" builtinId="9" hidden="1"/>
    <cellStyle name="Followed Hyperlink" xfId="952" builtinId="9" hidden="1"/>
    <cellStyle name="Followed Hyperlink" xfId="821" builtinId="9" hidden="1"/>
    <cellStyle name="Followed Hyperlink" xfId="693" builtinId="9" hidden="1"/>
    <cellStyle name="Followed Hyperlink" xfId="232" builtinId="9" hidden="1"/>
    <cellStyle name="Followed Hyperlink" xfId="321" builtinId="9" hidden="1"/>
    <cellStyle name="Followed Hyperlink" xfId="408" builtinId="9" hidden="1"/>
    <cellStyle name="Followed Hyperlink" xfId="494" builtinId="9" hidden="1"/>
    <cellStyle name="Followed Hyperlink" xfId="578" builtinId="9" hidden="1"/>
    <cellStyle name="Followed Hyperlink" xfId="452" builtinId="9" hidden="1"/>
    <cellStyle name="Followed Hyperlink" xfId="92" builtinId="9" hidden="1"/>
    <cellStyle name="Followed Hyperlink" xfId="164" builtinId="9" hidden="1"/>
    <cellStyle name="Followed Hyperlink" xfId="58" builtinId="9" hidden="1"/>
    <cellStyle name="Followed Hyperlink" xfId="8" builtinId="9" hidden="1"/>
    <cellStyle name="Followed Hyperlink" xfId="70" builtinId="9" hidden="1"/>
    <cellStyle name="Followed Hyperlink" xfId="176" builtinId="9" hidden="1"/>
    <cellStyle name="Followed Hyperlink" xfId="104" builtinId="9" hidden="1"/>
    <cellStyle name="Followed Hyperlink" xfId="412" builtinId="9" hidden="1"/>
    <cellStyle name="Followed Hyperlink" xfId="592" builtinId="9" hidden="1"/>
    <cellStyle name="Followed Hyperlink" xfId="506" builtinId="9" hidden="1"/>
    <cellStyle name="Followed Hyperlink" xfId="422" builtinId="9" hidden="1"/>
    <cellStyle name="Followed Hyperlink" xfId="335" builtinId="9" hidden="1"/>
    <cellStyle name="Followed Hyperlink" xfId="244" builtinId="9" hidden="1"/>
    <cellStyle name="Followed Hyperlink" xfId="673" builtinId="9" hidden="1"/>
    <cellStyle name="Followed Hyperlink" xfId="801" builtinId="9" hidden="1"/>
    <cellStyle name="Followed Hyperlink" xfId="932" builtinId="9" hidden="1"/>
    <cellStyle name="Followed Hyperlink" xfId="1061" builtinId="9" hidden="1"/>
    <cellStyle name="Followed Hyperlink" xfId="1189" builtinId="9" hidden="1"/>
    <cellStyle name="Followed Hyperlink" xfId="1322" builtinId="9" hidden="1"/>
    <cellStyle name="Followed Hyperlink" xfId="1450" builtinId="9" hidden="1"/>
    <cellStyle name="Followed Hyperlink" xfId="1575" builtinId="9" hidden="1"/>
    <cellStyle name="Followed Hyperlink" xfId="1703" builtinId="9" hidden="1"/>
    <cellStyle name="Followed Hyperlink" xfId="1829" builtinId="9" hidden="1"/>
    <cellStyle name="Followed Hyperlink" xfId="1957" builtinId="9" hidden="1"/>
    <cellStyle name="Followed Hyperlink" xfId="2088" builtinId="9" hidden="1"/>
    <cellStyle name="Followed Hyperlink" xfId="2217" builtinId="9" hidden="1"/>
    <cellStyle name="Followed Hyperlink" xfId="2345" builtinId="9" hidden="1"/>
    <cellStyle name="Followed Hyperlink" xfId="2470" builtinId="9" hidden="1"/>
    <cellStyle name="Followed Hyperlink" xfId="2598" builtinId="9" hidden="1"/>
    <cellStyle name="Followed Hyperlink" xfId="2726" builtinId="9" hidden="1"/>
    <cellStyle name="Followed Hyperlink" xfId="2856" builtinId="9" hidden="1"/>
    <cellStyle name="Followed Hyperlink" xfId="2990" builtinId="9" hidden="1"/>
    <cellStyle name="Followed Hyperlink" xfId="3119" builtinId="9" hidden="1"/>
    <cellStyle name="Followed Hyperlink" xfId="3247" builtinId="9" hidden="1"/>
    <cellStyle name="Followed Hyperlink" xfId="3372" builtinId="9" hidden="1"/>
    <cellStyle name="Followed Hyperlink" xfId="3500" builtinId="9" hidden="1"/>
    <cellStyle name="Followed Hyperlink" xfId="3629" builtinId="9" hidden="1"/>
    <cellStyle name="Followed Hyperlink" xfId="3757" builtinId="9" hidden="1"/>
    <cellStyle name="Followed Hyperlink" xfId="3889" builtinId="9" hidden="1"/>
    <cellStyle name="Followed Hyperlink" xfId="4018" builtinId="9" hidden="1"/>
    <cellStyle name="Followed Hyperlink" xfId="4146" builtinId="9" hidden="1"/>
    <cellStyle name="Followed Hyperlink" xfId="4271" builtinId="9" hidden="1"/>
    <cellStyle name="Followed Hyperlink" xfId="4399" builtinId="9" hidden="1"/>
    <cellStyle name="Followed Hyperlink" xfId="4518" builtinId="9" hidden="1"/>
    <cellStyle name="Followed Hyperlink" xfId="4648" builtinId="9" hidden="1"/>
    <cellStyle name="Followed Hyperlink" xfId="4782" builtinId="9" hidden="1"/>
    <cellStyle name="Followed Hyperlink" xfId="4911" builtinId="9" hidden="1"/>
    <cellStyle name="Followed Hyperlink" xfId="5039" builtinId="9" hidden="1"/>
    <cellStyle name="Followed Hyperlink" xfId="5164" builtinId="9" hidden="1"/>
    <cellStyle name="Followed Hyperlink" xfId="5292" builtinId="9" hidden="1"/>
    <cellStyle name="Followed Hyperlink" xfId="5422" builtinId="9" hidden="1"/>
    <cellStyle name="Followed Hyperlink" xfId="5550" builtinId="9" hidden="1"/>
    <cellStyle name="Followed Hyperlink" xfId="5681" builtinId="9" hidden="1"/>
    <cellStyle name="Followed Hyperlink" xfId="5810" builtinId="9" hidden="1"/>
    <cellStyle name="Followed Hyperlink" xfId="5938" builtinId="9" hidden="1"/>
    <cellStyle name="Followed Hyperlink" xfId="6063" builtinId="9" hidden="1"/>
    <cellStyle name="Followed Hyperlink" xfId="6191" builtinId="9" hidden="1"/>
    <cellStyle name="Followed Hyperlink" xfId="6309" builtinId="9" hidden="1"/>
    <cellStyle name="Followed Hyperlink" xfId="6437" builtinId="9" hidden="1"/>
    <cellStyle name="Followed Hyperlink" xfId="6567" builtinId="9" hidden="1"/>
    <cellStyle name="Followed Hyperlink" xfId="6696" builtinId="9" hidden="1"/>
    <cellStyle name="Followed Hyperlink" xfId="6524" builtinId="9" hidden="1"/>
    <cellStyle name="Followed Hyperlink" xfId="6949" builtinId="9" hidden="1"/>
    <cellStyle name="Followed Hyperlink" xfId="5916" builtinId="9" hidden="1"/>
    <cellStyle name="Followed Hyperlink" xfId="6009" builtinId="9" hidden="1"/>
    <cellStyle name="Followed Hyperlink" xfId="6089" builtinId="9" hidden="1"/>
    <cellStyle name="Followed Hyperlink" xfId="6169" builtinId="9" hidden="1"/>
    <cellStyle name="Followed Hyperlink" xfId="6255" builtinId="9" hidden="1"/>
    <cellStyle name="Followed Hyperlink" xfId="6335" builtinId="9" hidden="1"/>
    <cellStyle name="Followed Hyperlink" xfId="6415" builtinId="9" hidden="1"/>
    <cellStyle name="Followed Hyperlink" xfId="6511" builtinId="9" hidden="1"/>
    <cellStyle name="Followed Hyperlink" xfId="6593" builtinId="9" hidden="1"/>
    <cellStyle name="Followed Hyperlink" xfId="6674" builtinId="9" hidden="1"/>
    <cellStyle name="Followed Hyperlink" xfId="6770" builtinId="9" hidden="1"/>
    <cellStyle name="Followed Hyperlink" xfId="6847" builtinId="9" hidden="1"/>
    <cellStyle name="Followed Hyperlink" xfId="6927" builtinId="9" hidden="1"/>
    <cellStyle name="Followed Hyperlink" xfId="7023" builtinId="9" hidden="1"/>
    <cellStyle name="Followed Hyperlink" xfId="7103" builtinId="9" hidden="1"/>
    <cellStyle name="Followed Hyperlink" xfId="7183" builtinId="9" hidden="1"/>
    <cellStyle name="Followed Hyperlink" xfId="7279" builtinId="9" hidden="1"/>
    <cellStyle name="Followed Hyperlink" xfId="7359" builtinId="9" hidden="1"/>
    <cellStyle name="Followed Hyperlink" xfId="7441" builtinId="9" hidden="1"/>
    <cellStyle name="Followed Hyperlink" xfId="7538" builtinId="9" hidden="1"/>
    <cellStyle name="Followed Hyperlink" xfId="7618" builtinId="9" hidden="1"/>
    <cellStyle name="Followed Hyperlink" xfId="7698" builtinId="9" hidden="1"/>
    <cellStyle name="Followed Hyperlink" xfId="7791" builtinId="9" hidden="1"/>
    <cellStyle name="Followed Hyperlink" xfId="7871" builtinId="9" hidden="1"/>
    <cellStyle name="Followed Hyperlink" xfId="7951" builtinId="9" hidden="1"/>
    <cellStyle name="Followed Hyperlink" xfId="7957" builtinId="9" hidden="1"/>
    <cellStyle name="Followed Hyperlink" xfId="7877" builtinId="9" hidden="1"/>
    <cellStyle name="Followed Hyperlink" xfId="7797" builtinId="9" hidden="1"/>
    <cellStyle name="Followed Hyperlink" xfId="7704" builtinId="9" hidden="1"/>
    <cellStyle name="Followed Hyperlink" xfId="7624" builtinId="9" hidden="1"/>
    <cellStyle name="Followed Hyperlink" xfId="7544" builtinId="9" hidden="1"/>
    <cellStyle name="Followed Hyperlink" xfId="7447" builtinId="9" hidden="1"/>
    <cellStyle name="Followed Hyperlink" xfId="7365" builtinId="9" hidden="1"/>
    <cellStyle name="Followed Hyperlink" xfId="7285" builtinId="9" hidden="1"/>
    <cellStyle name="Followed Hyperlink" xfId="7189" builtinId="9" hidden="1"/>
    <cellStyle name="Followed Hyperlink" xfId="7109" builtinId="9" hidden="1"/>
    <cellStyle name="Followed Hyperlink" xfId="7029" builtinId="9" hidden="1"/>
    <cellStyle name="Followed Hyperlink" xfId="7013" builtinId="9" hidden="1"/>
    <cellStyle name="Followed Hyperlink" xfId="7269" builtinId="9" hidden="1"/>
    <cellStyle name="Followed Hyperlink" xfId="7528" builtinId="9" hidden="1"/>
    <cellStyle name="Followed Hyperlink" xfId="7781" builtinId="9" hidden="1"/>
    <cellStyle name="Followed Hyperlink" xfId="7967" builtinId="9" hidden="1"/>
    <cellStyle name="Followed Hyperlink" xfId="7711" builtinId="9" hidden="1"/>
    <cellStyle name="Followed Hyperlink" xfId="7457" builtinId="9" hidden="1"/>
    <cellStyle name="Followed Hyperlink" xfId="7199" builtinId="9" hidden="1"/>
    <cellStyle name="Followed Hyperlink" xfId="6943" builtinId="9" hidden="1"/>
    <cellStyle name="Followed Hyperlink" xfId="6690" builtinId="9" hidden="1"/>
    <cellStyle name="Followed Hyperlink" xfId="6431" builtinId="9" hidden="1"/>
    <cellStyle name="Followed Hyperlink" xfId="6185" builtinId="9" hidden="1"/>
    <cellStyle name="Followed Hyperlink" xfId="5932" builtinId="9" hidden="1"/>
    <cellStyle name="Followed Hyperlink" xfId="4969" builtinId="9" hidden="1"/>
    <cellStyle name="Followed Hyperlink" xfId="5049" builtinId="9" hidden="1"/>
    <cellStyle name="Followed Hyperlink" xfId="5110" builtinId="9" hidden="1"/>
    <cellStyle name="Followed Hyperlink" xfId="5190" builtinId="9" hidden="1"/>
    <cellStyle name="Followed Hyperlink" xfId="5254" builtinId="9" hidden="1"/>
    <cellStyle name="Followed Hyperlink" xfId="5334" builtinId="9" hidden="1"/>
    <cellStyle name="Followed Hyperlink" xfId="5400" builtinId="9" hidden="1"/>
    <cellStyle name="Followed Hyperlink" xfId="5480" builtinId="9" hidden="1"/>
    <cellStyle name="Followed Hyperlink" xfId="5560" builtinId="9" hidden="1"/>
    <cellStyle name="Followed Hyperlink" xfId="5624" builtinId="9" hidden="1"/>
    <cellStyle name="Followed Hyperlink" xfId="5707" builtinId="9" hidden="1"/>
    <cellStyle name="Followed Hyperlink" xfId="5772" builtinId="9" hidden="1"/>
    <cellStyle name="Followed Hyperlink" xfId="5804" builtinId="9" hidden="1"/>
    <cellStyle name="Followed Hyperlink" xfId="5286" builtinId="9" hidden="1"/>
    <cellStyle name="Followed Hyperlink" xfId="4578" builtinId="9" hidden="1"/>
    <cellStyle name="Followed Hyperlink" xfId="4642" builtinId="9" hidden="1"/>
    <cellStyle name="Followed Hyperlink" xfId="4706" builtinId="9" hidden="1"/>
    <cellStyle name="Followed Hyperlink" xfId="4792" builtinId="9" hidden="1"/>
    <cellStyle name="Followed Hyperlink" xfId="4857" builtinId="9" hidden="1"/>
    <cellStyle name="Followed Hyperlink" xfId="4921" builtinId="9" hidden="1"/>
    <cellStyle name="Followed Hyperlink" xfId="4425" builtinId="9" hidden="1"/>
    <cellStyle name="Followed Hyperlink" xfId="4480" builtinId="9" hidden="1"/>
    <cellStyle name="Followed Hyperlink" xfId="4512" builtinId="9" hidden="1"/>
    <cellStyle name="Followed Hyperlink" xfId="4361" builtinId="9" hidden="1"/>
    <cellStyle name="Followed Hyperlink" xfId="4265" builtinId="9" hidden="1"/>
    <cellStyle name="Followed Hyperlink" xfId="4297" builtinId="9" hidden="1"/>
    <cellStyle name="Followed Hyperlink" xfId="4345" builtinId="9" hidden="1"/>
    <cellStyle name="Followed Hyperlink" xfId="4546" builtinId="9" hidden="1"/>
    <cellStyle name="Followed Hyperlink" xfId="4464" builtinId="9" hidden="1"/>
    <cellStyle name="Followed Hyperlink" xfId="4409" builtinId="9" hidden="1"/>
    <cellStyle name="Followed Hyperlink" xfId="4905" builtinId="9" hidden="1"/>
    <cellStyle name="Followed Hyperlink" xfId="4841" builtinId="9" hidden="1"/>
    <cellStyle name="Followed Hyperlink" xfId="4760" builtinId="9" hidden="1"/>
    <cellStyle name="Followed Hyperlink" xfId="4690" builtinId="9" hidden="1"/>
    <cellStyle name="Followed Hyperlink" xfId="4626" builtinId="9" hidden="1"/>
    <cellStyle name="Followed Hyperlink" xfId="4562" builtinId="9" hidden="1"/>
    <cellStyle name="Followed Hyperlink" xfId="5416" builtinId="9" hidden="1"/>
    <cellStyle name="Followed Hyperlink" xfId="5836" builtinId="9" hidden="1"/>
    <cellStyle name="Followed Hyperlink" xfId="5756" builtinId="9" hidden="1"/>
    <cellStyle name="Followed Hyperlink" xfId="5691" builtinId="9" hidden="1"/>
    <cellStyle name="Followed Hyperlink" xfId="5608" builtinId="9" hidden="1"/>
    <cellStyle name="Followed Hyperlink" xfId="5528" builtinId="9" hidden="1"/>
    <cellStyle name="Followed Hyperlink" xfId="5464" builtinId="9" hidden="1"/>
    <cellStyle name="Followed Hyperlink" xfId="5384" builtinId="9" hidden="1"/>
    <cellStyle name="Followed Hyperlink" xfId="5318" builtinId="9" hidden="1"/>
    <cellStyle name="Followed Hyperlink" xfId="5238" builtinId="9" hidden="1"/>
    <cellStyle name="Followed Hyperlink" xfId="5174" builtinId="9" hidden="1"/>
    <cellStyle name="Followed Hyperlink" xfId="5094" builtinId="9" hidden="1"/>
    <cellStyle name="Followed Hyperlink" xfId="5017" builtinId="9" hidden="1"/>
    <cellStyle name="Followed Hyperlink" xfId="4953" builtinId="9" hidden="1"/>
    <cellStyle name="Followed Hyperlink" xfId="5993" builtinId="9" hidden="1"/>
    <cellStyle name="Followed Hyperlink" xfId="6239" builtinId="9" hidden="1"/>
    <cellStyle name="Followed Hyperlink" xfId="6495" builtinId="9" hidden="1"/>
    <cellStyle name="Followed Hyperlink" xfId="6754" builtinId="9" hidden="1"/>
    <cellStyle name="Followed Hyperlink" xfId="7007" builtinId="9" hidden="1"/>
    <cellStyle name="Followed Hyperlink" xfId="7263" builtinId="9" hidden="1"/>
    <cellStyle name="Followed Hyperlink" xfId="7522" builtinId="9" hidden="1"/>
    <cellStyle name="Followed Hyperlink" xfId="7775" builtinId="9" hidden="1"/>
    <cellStyle name="Followed Hyperlink" xfId="7973" builtinId="9" hidden="1"/>
    <cellStyle name="Followed Hyperlink" xfId="7717" builtinId="9" hidden="1"/>
    <cellStyle name="Followed Hyperlink" xfId="7463" builtinId="9" hidden="1"/>
    <cellStyle name="Followed Hyperlink" xfId="7205" builtinId="9" hidden="1"/>
    <cellStyle name="Followed Hyperlink" xfId="6965" builtinId="9" hidden="1"/>
    <cellStyle name="Followed Hyperlink" xfId="7045" builtinId="9" hidden="1"/>
    <cellStyle name="Followed Hyperlink" xfId="7125" builtinId="9" hidden="1"/>
    <cellStyle name="Followed Hyperlink" xfId="7221" builtinId="9" hidden="1"/>
    <cellStyle name="Followed Hyperlink" xfId="7301" builtinId="9" hidden="1"/>
    <cellStyle name="Followed Hyperlink" xfId="7381" builtinId="9" hidden="1"/>
    <cellStyle name="Followed Hyperlink" xfId="7479" builtinId="9" hidden="1"/>
    <cellStyle name="Followed Hyperlink" xfId="7560" builtinId="9" hidden="1"/>
    <cellStyle name="Followed Hyperlink" xfId="7640" builtinId="9" hidden="1"/>
    <cellStyle name="Followed Hyperlink" xfId="7733" builtinId="9" hidden="1"/>
    <cellStyle name="Followed Hyperlink" xfId="7813" builtinId="9" hidden="1"/>
    <cellStyle name="Followed Hyperlink" xfId="7893" builtinId="9" hidden="1"/>
    <cellStyle name="Followed Hyperlink" xfId="7989" builtinId="9" hidden="1"/>
    <cellStyle name="Followed Hyperlink" xfId="7935" builtinId="9" hidden="1"/>
    <cellStyle name="Followed Hyperlink" xfId="7855" builtinId="9" hidden="1"/>
    <cellStyle name="Followed Hyperlink" xfId="7759" builtinId="9" hidden="1"/>
    <cellStyle name="Followed Hyperlink" xfId="7682" builtinId="9" hidden="1"/>
    <cellStyle name="Followed Hyperlink" xfId="7602" builtinId="9" hidden="1"/>
    <cellStyle name="Followed Hyperlink" xfId="7506" builtinId="9" hidden="1"/>
    <cellStyle name="Followed Hyperlink" xfId="7425" builtinId="9" hidden="1"/>
    <cellStyle name="Followed Hyperlink" xfId="7343" builtinId="9" hidden="1"/>
    <cellStyle name="Followed Hyperlink" xfId="7247" builtinId="9" hidden="1"/>
    <cellStyle name="Followed Hyperlink" xfId="7167" builtinId="9" hidden="1"/>
    <cellStyle name="Followed Hyperlink" xfId="7087" builtinId="9" hidden="1"/>
    <cellStyle name="Followed Hyperlink" xfId="6991" builtinId="9" hidden="1"/>
    <cellStyle name="Followed Hyperlink" xfId="6911" builtinId="9" hidden="1"/>
    <cellStyle name="Followed Hyperlink" xfId="6831" builtinId="9" hidden="1"/>
    <cellStyle name="Followed Hyperlink" xfId="6738" builtinId="9" hidden="1"/>
    <cellStyle name="Followed Hyperlink" xfId="6658" builtinId="9" hidden="1"/>
    <cellStyle name="Followed Hyperlink" xfId="6577" builtinId="9" hidden="1"/>
    <cellStyle name="Followed Hyperlink" xfId="6479" builtinId="9" hidden="1"/>
    <cellStyle name="Followed Hyperlink" xfId="6399" builtinId="9" hidden="1"/>
    <cellStyle name="Followed Hyperlink" xfId="6319" builtinId="9" hidden="1"/>
    <cellStyle name="Followed Hyperlink" xfId="6233" builtinId="9" hidden="1"/>
    <cellStyle name="Followed Hyperlink" xfId="6153" builtinId="9" hidden="1"/>
    <cellStyle name="Followed Hyperlink" xfId="6073" builtinId="9" hidden="1"/>
    <cellStyle name="Followed Hyperlink" xfId="5977" builtinId="9" hidden="1"/>
    <cellStyle name="Followed Hyperlink" xfId="5900" builtinId="9" hidden="1"/>
    <cellStyle name="Followed Hyperlink" xfId="6917" builtinId="9" hidden="1"/>
    <cellStyle name="Followed Hyperlink" xfId="6792" builtinId="9" hidden="1"/>
    <cellStyle name="Followed Hyperlink" xfId="6664" builtinId="9" hidden="1"/>
    <cellStyle name="Followed Hyperlink" xfId="6535" builtinId="9" hidden="1"/>
    <cellStyle name="Followed Hyperlink" xfId="6405" builtinId="9" hidden="1"/>
    <cellStyle name="Followed Hyperlink" xfId="6277" builtinId="9" hidden="1"/>
    <cellStyle name="Followed Hyperlink" xfId="6159" builtinId="9" hidden="1"/>
    <cellStyle name="Followed Hyperlink" xfId="6031" builtinId="9" hidden="1"/>
    <cellStyle name="Followed Hyperlink" xfId="5906" builtinId="9" hidden="1"/>
    <cellStyle name="Followed Hyperlink" xfId="5778" builtinId="9" hidden="1"/>
    <cellStyle name="Followed Hyperlink" xfId="5649" builtinId="9" hidden="1"/>
    <cellStyle name="Followed Hyperlink" xfId="5518" builtinId="9" hidden="1"/>
    <cellStyle name="Followed Hyperlink" xfId="5390" builtinId="9" hidden="1"/>
    <cellStyle name="Followed Hyperlink" xfId="5260" builtinId="9" hidden="1"/>
    <cellStyle name="Followed Hyperlink" xfId="5132" builtinId="9" hidden="1"/>
    <cellStyle name="Followed Hyperlink" xfId="5007" builtinId="9" hidden="1"/>
    <cellStyle name="Followed Hyperlink" xfId="4879" builtinId="9" hidden="1"/>
    <cellStyle name="Followed Hyperlink" xfId="4744" builtinId="9" hidden="1"/>
    <cellStyle name="Followed Hyperlink" xfId="4616" builtinId="9" hidden="1"/>
    <cellStyle name="Followed Hyperlink" xfId="4486" builtinId="9" hidden="1"/>
    <cellStyle name="Followed Hyperlink" xfId="4367" builtinId="9" hidden="1"/>
    <cellStyle name="Followed Hyperlink" xfId="4239" builtinId="9" hidden="1"/>
    <cellStyle name="Followed Hyperlink" xfId="4114" builtinId="9" hidden="1"/>
    <cellStyle name="Followed Hyperlink" xfId="3986" builtinId="9" hidden="1"/>
    <cellStyle name="Followed Hyperlink" xfId="3853" builtinId="9" hidden="1"/>
    <cellStyle name="Followed Hyperlink" xfId="3725" builtinId="9" hidden="1"/>
    <cellStyle name="Followed Hyperlink" xfId="3597" builtinId="9" hidden="1"/>
    <cellStyle name="Followed Hyperlink" xfId="3468" builtinId="9" hidden="1"/>
    <cellStyle name="Followed Hyperlink" xfId="3340" builtinId="9" hidden="1"/>
    <cellStyle name="Followed Hyperlink" xfId="3215" builtinId="9" hidden="1"/>
    <cellStyle name="Followed Hyperlink" xfId="3087" builtinId="9" hidden="1"/>
    <cellStyle name="Followed Hyperlink" xfId="2952" builtinId="9" hidden="1"/>
    <cellStyle name="Followed Hyperlink" xfId="2824" builtinId="9" hidden="1"/>
    <cellStyle name="Followed Hyperlink" xfId="2694" builtinId="9" hidden="1"/>
    <cellStyle name="Followed Hyperlink" xfId="2566" builtinId="9" hidden="1"/>
    <cellStyle name="Followed Hyperlink" xfId="2438" builtinId="9" hidden="1"/>
    <cellStyle name="Followed Hyperlink" xfId="2313" builtinId="9" hidden="1"/>
    <cellStyle name="Followed Hyperlink" xfId="2185" builtinId="9" hidden="1"/>
    <cellStyle name="Followed Hyperlink" xfId="2053" builtinId="9" hidden="1"/>
    <cellStyle name="Followed Hyperlink" xfId="1925" builtinId="9" hidden="1"/>
    <cellStyle name="Followed Hyperlink" xfId="1797" builtinId="9" hidden="1"/>
    <cellStyle name="Followed Hyperlink" xfId="1671" builtinId="9" hidden="1"/>
    <cellStyle name="Followed Hyperlink" xfId="1543" builtinId="9" hidden="1"/>
    <cellStyle name="Followed Hyperlink" xfId="1418" builtinId="9" hidden="1"/>
    <cellStyle name="Followed Hyperlink" xfId="1290" builtinId="9" hidden="1"/>
    <cellStyle name="Followed Hyperlink" xfId="1157" builtinId="9" hidden="1"/>
    <cellStyle name="Followed Hyperlink" xfId="1029" builtinId="9" hidden="1"/>
    <cellStyle name="Followed Hyperlink" xfId="900" builtinId="9" hidden="1"/>
    <cellStyle name="Followed Hyperlink" xfId="769" builtinId="9" hidden="1"/>
    <cellStyle name="Followed Hyperlink" xfId="641" builtinId="9" hidden="1"/>
    <cellStyle name="Followed Hyperlink" xfId="266" builtinId="9" hidden="1"/>
    <cellStyle name="Followed Hyperlink" xfId="357" builtinId="9" hidden="1"/>
    <cellStyle name="Followed Hyperlink" xfId="442" builtinId="9" hidden="1"/>
    <cellStyle name="Followed Hyperlink" xfId="528" builtinId="9" hidden="1"/>
    <cellStyle name="Followed Hyperlink" xfId="304" builtinId="9" hidden="1"/>
    <cellStyle name="Followed Hyperlink" xfId="347" builtinId="9" hidden="1"/>
    <cellStyle name="Followed Hyperlink" xfId="122" builtinId="9" hidden="1"/>
    <cellStyle name="Followed Hyperlink" xfId="194" builtinId="9" hidden="1"/>
    <cellStyle name="Followed Hyperlink" xfId="88" builtinId="9" hidden="1"/>
    <cellStyle name="Followed Hyperlink" xfId="40" builtinId="9" hidden="1"/>
    <cellStyle name="Followed Hyperlink" xfId="42" builtinId="9" hidden="1"/>
    <cellStyle name="Followed Hyperlink" xfId="146" builtinId="9" hidden="1"/>
    <cellStyle name="Followed Hyperlink" xfId="254" builtinId="9" hidden="1"/>
    <cellStyle name="Followed Hyperlink" xfId="516" builtinId="9" hidden="1"/>
    <cellStyle name="Followed Hyperlink" xfId="558" builtinId="9" hidden="1"/>
    <cellStyle name="Followed Hyperlink" xfId="472" builtinId="9" hidden="1"/>
    <cellStyle name="Followed Hyperlink" xfId="386" builtinId="9" hidden="1"/>
    <cellStyle name="Followed Hyperlink" xfId="296" builtinId="9" hidden="1"/>
    <cellStyle name="Followed Hyperlink" xfId="210" builtinId="9" hidden="1"/>
    <cellStyle name="Followed Hyperlink" xfId="725" builtinId="9" hidden="1"/>
    <cellStyle name="Followed Hyperlink" xfId="853" builtinId="9" hidden="1"/>
    <cellStyle name="Followed Hyperlink" xfId="985" builtinId="9" hidden="1"/>
    <cellStyle name="Followed Hyperlink" xfId="1113" builtinId="9" hidden="1"/>
    <cellStyle name="Followed Hyperlink" xfId="1245" builtinId="9" hidden="1"/>
    <cellStyle name="Followed Hyperlink" xfId="1374" builtinId="9" hidden="1"/>
    <cellStyle name="Followed Hyperlink" xfId="1499" builtinId="9" hidden="1"/>
    <cellStyle name="Followed Hyperlink" xfId="1627" builtinId="9" hidden="1"/>
    <cellStyle name="Followed Hyperlink" xfId="1755" builtinId="9" hidden="1"/>
    <cellStyle name="Followed Hyperlink" xfId="1881" builtinId="9" hidden="1"/>
    <cellStyle name="Followed Hyperlink" xfId="2009" builtinId="9" hidden="1"/>
    <cellStyle name="Followed Hyperlink" xfId="2140" builtinId="9" hidden="1"/>
    <cellStyle name="Followed Hyperlink" xfId="2269" builtinId="9" hidden="1"/>
    <cellStyle name="Followed Hyperlink" xfId="2394" builtinId="9" hidden="1"/>
    <cellStyle name="Followed Hyperlink" xfId="2522" builtinId="9" hidden="1"/>
    <cellStyle name="Followed Hyperlink" xfId="2650" builtinId="9" hidden="1"/>
    <cellStyle name="Followed Hyperlink" xfId="2780" builtinId="9" hidden="1"/>
    <cellStyle name="Followed Hyperlink" xfId="2908" builtinId="9" hidden="1"/>
    <cellStyle name="Followed Hyperlink" xfId="3042" builtinId="9" hidden="1"/>
    <cellStyle name="Followed Hyperlink" xfId="3171" builtinId="9" hidden="1"/>
    <cellStyle name="Followed Hyperlink" xfId="3296" builtinId="9" hidden="1"/>
    <cellStyle name="Followed Hyperlink" xfId="3424" builtinId="9" hidden="1"/>
    <cellStyle name="Followed Hyperlink" xfId="3552" builtinId="9" hidden="1"/>
    <cellStyle name="Followed Hyperlink" xfId="3681" builtinId="9" hidden="1"/>
    <cellStyle name="Followed Hyperlink" xfId="3809" builtinId="9" hidden="1"/>
    <cellStyle name="Followed Hyperlink" xfId="3941" builtinId="9" hidden="1"/>
    <cellStyle name="Followed Hyperlink" xfId="4070" builtinId="9" hidden="1"/>
    <cellStyle name="Followed Hyperlink" xfId="4195" builtinId="9" hidden="1"/>
    <cellStyle name="Followed Hyperlink" xfId="4323" builtinId="9" hidden="1"/>
    <cellStyle name="Followed Hyperlink" xfId="4451" builtinId="9" hidden="1"/>
    <cellStyle name="Followed Hyperlink" xfId="4572" builtinId="9" hidden="1"/>
    <cellStyle name="Followed Hyperlink" xfId="4700" builtinId="9" hidden="1"/>
    <cellStyle name="Followed Hyperlink" xfId="4835" builtinId="9" hidden="1"/>
    <cellStyle name="Followed Hyperlink" xfId="4963" builtinId="9" hidden="1"/>
    <cellStyle name="Followed Hyperlink" xfId="5088" builtinId="9" hidden="1"/>
    <cellStyle name="Followed Hyperlink" xfId="5216" builtinId="9" hidden="1"/>
    <cellStyle name="Followed Hyperlink" xfId="5344" builtinId="9" hidden="1"/>
    <cellStyle name="Followed Hyperlink" xfId="5474" builtinId="9" hidden="1"/>
    <cellStyle name="Followed Hyperlink" xfId="5602" builtinId="9" hidden="1"/>
    <cellStyle name="Followed Hyperlink" xfId="5734" builtinId="9" hidden="1"/>
    <cellStyle name="Followed Hyperlink" xfId="5862" builtinId="9" hidden="1"/>
    <cellStyle name="Followed Hyperlink" xfId="5987" builtinId="9" hidden="1"/>
    <cellStyle name="Followed Hyperlink" xfId="6115" builtinId="9" hidden="1"/>
    <cellStyle name="Followed Hyperlink" xfId="5643" builtinId="9" hidden="1"/>
    <cellStyle name="Followed Hyperlink" xfId="6361" builtinId="9" hidden="1"/>
    <cellStyle name="Followed Hyperlink" xfId="6489" builtinId="9" hidden="1"/>
    <cellStyle name="Followed Hyperlink" xfId="6620" builtinId="9" hidden="1"/>
    <cellStyle name="Followed Hyperlink" xfId="6748" builtinId="9" hidden="1"/>
    <cellStyle name="Followed Hyperlink" xfId="6873" builtinId="9" hidden="1"/>
    <cellStyle name="Followed Hyperlink" xfId="7001" builtinId="9" hidden="1"/>
    <cellStyle name="Followed Hyperlink" xfId="7129" builtinId="9" hidden="1"/>
    <cellStyle name="Followed Hyperlink" xfId="7257" builtinId="9" hidden="1"/>
    <cellStyle name="Followed Hyperlink" xfId="7385" builtinId="9" hidden="1"/>
    <cellStyle name="Followed Hyperlink" xfId="7516" builtinId="9" hidden="1"/>
    <cellStyle name="Followed Hyperlink" xfId="7644" builtinId="9" hidden="1"/>
    <cellStyle name="Followed Hyperlink" xfId="7769" builtinId="9" hidden="1"/>
    <cellStyle name="Followed Hyperlink" xfId="7897" builtinId="9" hidden="1"/>
    <cellStyle name="Followed Hyperlink" xfId="7979" builtinId="9" hidden="1"/>
    <cellStyle name="Followed Hyperlink" xfId="7851" builtinId="9" hidden="1"/>
    <cellStyle name="Followed Hyperlink" xfId="7723" builtinId="9" hidden="1"/>
    <cellStyle name="Followed Hyperlink" xfId="7598" builtinId="9" hidden="1"/>
    <cellStyle name="Followed Hyperlink" xfId="7469" builtinId="9" hidden="1"/>
    <cellStyle name="Followed Hyperlink" xfId="7339" builtinId="9" hidden="1"/>
    <cellStyle name="Followed Hyperlink" xfId="7211" builtinId="9" hidden="1"/>
    <cellStyle name="Followed Hyperlink" xfId="7083" builtinId="9" hidden="1"/>
    <cellStyle name="Followed Hyperlink" xfId="6955" builtinId="9" hidden="1"/>
    <cellStyle name="Followed Hyperlink" xfId="6827" builtinId="9" hidden="1"/>
    <cellStyle name="Followed Hyperlink" xfId="6702" builtinId="9" hidden="1"/>
    <cellStyle name="Followed Hyperlink" xfId="6573" builtinId="9" hidden="1"/>
    <cellStyle name="Followed Hyperlink" xfId="6443" builtinId="9" hidden="1"/>
    <cellStyle name="Followed Hyperlink" xfId="6315" builtinId="9" hidden="1"/>
    <cellStyle name="Followed Hyperlink" xfId="6197" builtinId="9" hidden="1"/>
    <cellStyle name="Followed Hyperlink" xfId="6069" builtinId="9" hidden="1"/>
    <cellStyle name="Followed Hyperlink" xfId="5720" builtinId="9" hidden="1"/>
    <cellStyle name="Followed Hyperlink" xfId="5816" builtinId="9" hidden="1"/>
    <cellStyle name="Followed Hyperlink" xfId="5687" builtinId="9" hidden="1"/>
    <cellStyle name="Followed Hyperlink" xfId="5556" builtinId="9" hidden="1"/>
    <cellStyle name="Followed Hyperlink" xfId="5428" builtinId="9" hidden="1"/>
    <cellStyle name="Followed Hyperlink" xfId="5298" builtinId="9" hidden="1"/>
    <cellStyle name="Followed Hyperlink" xfId="5170" builtinId="9" hidden="1"/>
    <cellStyle name="Followed Hyperlink" xfId="5045" builtinId="9" hidden="1"/>
    <cellStyle name="Followed Hyperlink" xfId="4917" builtinId="9" hidden="1"/>
    <cellStyle name="Followed Hyperlink" xfId="4788" builtinId="9" hidden="1"/>
    <cellStyle name="Followed Hyperlink" xfId="4654" builtinId="9" hidden="1"/>
    <cellStyle name="Followed Hyperlink" xfId="4524" builtinId="9" hidden="1"/>
    <cellStyle name="Followed Hyperlink" xfId="4405" builtinId="9" hidden="1"/>
    <cellStyle name="Followed Hyperlink" xfId="4277" builtinId="9" hidden="1"/>
    <cellStyle name="Followed Hyperlink" xfId="4152" builtinId="9" hidden="1"/>
    <cellStyle name="Followed Hyperlink" xfId="4024" builtinId="9" hidden="1"/>
    <cellStyle name="Followed Hyperlink" xfId="3895" builtinId="9" hidden="1"/>
    <cellStyle name="Followed Hyperlink" xfId="3763" builtinId="9" hidden="1"/>
    <cellStyle name="Followed Hyperlink" xfId="3635" builtinId="9" hidden="1"/>
    <cellStyle name="Followed Hyperlink" xfId="3506" builtinId="9" hidden="1"/>
    <cellStyle name="Followed Hyperlink" xfId="3378" builtinId="9" hidden="1"/>
    <cellStyle name="Followed Hyperlink" xfId="3253" builtinId="9" hidden="1"/>
    <cellStyle name="Followed Hyperlink" xfId="3125" builtinId="9" hidden="1"/>
    <cellStyle name="Followed Hyperlink" xfId="2996" builtinId="9" hidden="1"/>
    <cellStyle name="Followed Hyperlink" xfId="2862" builtinId="9" hidden="1"/>
    <cellStyle name="Followed Hyperlink" xfId="2732" builtinId="9" hidden="1"/>
    <cellStyle name="Followed Hyperlink" xfId="2604" builtinId="9" hidden="1"/>
    <cellStyle name="Followed Hyperlink" xfId="2476" builtinId="9" hidden="1"/>
    <cellStyle name="Followed Hyperlink" xfId="2351" builtinId="9" hidden="1"/>
    <cellStyle name="Followed Hyperlink" xfId="2223" builtinId="9" hidden="1"/>
    <cellStyle name="Followed Hyperlink" xfId="2094" builtinId="9" hidden="1"/>
    <cellStyle name="Followed Hyperlink" xfId="1963" builtinId="9" hidden="1"/>
    <cellStyle name="Followed Hyperlink" xfId="1835" builtinId="9" hidden="1"/>
    <cellStyle name="Followed Hyperlink" xfId="1087" builtinId="9" hidden="1"/>
    <cellStyle name="Followed Hyperlink" xfId="1171" builtinId="9" hidden="1"/>
    <cellStyle name="Followed Hyperlink" xfId="1259" builtinId="9" hidden="1"/>
    <cellStyle name="Followed Hyperlink" xfId="1348" builtinId="9" hidden="1"/>
    <cellStyle name="Followed Hyperlink" xfId="1432" builtinId="9" hidden="1"/>
    <cellStyle name="Followed Hyperlink" xfId="1513" builtinId="9" hidden="1"/>
    <cellStyle name="Followed Hyperlink" xfId="1601" builtinId="9" hidden="1"/>
    <cellStyle name="Followed Hyperlink" xfId="1685" builtinId="9" hidden="1"/>
    <cellStyle name="Followed Hyperlink" xfId="1769" builtinId="9" hidden="1"/>
    <cellStyle name="Followed Hyperlink" xfId="1709" builtinId="9" hidden="1"/>
    <cellStyle name="Followed Hyperlink" xfId="1456" builtinId="9" hidden="1"/>
    <cellStyle name="Followed Hyperlink" xfId="1199" builtinId="9" hidden="1"/>
    <cellStyle name="Followed Hyperlink" xfId="799" builtinId="9" hidden="1"/>
    <cellStyle name="Followed Hyperlink" xfId="875" builtinId="9" hidden="1"/>
    <cellStyle name="Followed Hyperlink" xfId="950" builtinId="9" hidden="1"/>
    <cellStyle name="Followed Hyperlink" xfId="938" builtinId="9" hidden="1"/>
    <cellStyle name="Followed Hyperlink" xfId="735" builtinId="9" hidden="1"/>
    <cellStyle name="Followed Hyperlink" xfId="663" builtinId="9" hidden="1"/>
    <cellStyle name="Followed Hyperlink" xfId="611" builtinId="9" hidden="1"/>
    <cellStyle name="Followed Hyperlink" xfId="659" builtinId="9" hidden="1"/>
    <cellStyle name="Followed Hyperlink" xfId="731" builtinId="9" hidden="1"/>
    <cellStyle name="Followed Hyperlink" xfId="970" builtinId="9" hidden="1"/>
    <cellStyle name="Followed Hyperlink" xfId="946" builtinId="9" hidden="1"/>
    <cellStyle name="Followed Hyperlink" xfId="867" builtinId="9" hidden="1"/>
    <cellStyle name="Followed Hyperlink" xfId="795" builtinId="9" hidden="1"/>
    <cellStyle name="Followed Hyperlink" xfId="1215" builtinId="9" hidden="1"/>
    <cellStyle name="Followed Hyperlink" xfId="1472" builtinId="9" hidden="1"/>
    <cellStyle name="Followed Hyperlink" xfId="1725" builtinId="9" hidden="1"/>
    <cellStyle name="Followed Hyperlink" xfId="1765" builtinId="9" hidden="1"/>
    <cellStyle name="Followed Hyperlink" xfId="1681" builtinId="9" hidden="1"/>
    <cellStyle name="Followed Hyperlink" xfId="1593" builtinId="9" hidden="1"/>
    <cellStyle name="Followed Hyperlink" xfId="1509" builtinId="9" hidden="1"/>
    <cellStyle name="Followed Hyperlink" xfId="1428" builtinId="9" hidden="1"/>
    <cellStyle name="Followed Hyperlink" xfId="1340" builtinId="9" hidden="1"/>
    <cellStyle name="Followed Hyperlink" xfId="1255" builtinId="9" hidden="1"/>
    <cellStyle name="Followed Hyperlink" xfId="1167" builtinId="9" hidden="1"/>
    <cellStyle name="Followed Hyperlink" xfId="1079" builtinId="9" hidden="1"/>
    <cellStyle name="Followed Hyperlink" xfId="1843" builtinId="9" hidden="1"/>
    <cellStyle name="Followed Hyperlink" xfId="1971" builtinId="9" hidden="1"/>
    <cellStyle name="Followed Hyperlink" xfId="2102" builtinId="9" hidden="1"/>
    <cellStyle name="Followed Hyperlink" xfId="2231" builtinId="9" hidden="1"/>
    <cellStyle name="Followed Hyperlink" xfId="2359" builtinId="9" hidden="1"/>
    <cellStyle name="Followed Hyperlink" xfId="2484" builtinId="9" hidden="1"/>
    <cellStyle name="Followed Hyperlink" xfId="2612" builtinId="9" hidden="1"/>
    <cellStyle name="Followed Hyperlink" xfId="2740" builtinId="9" hidden="1"/>
    <cellStyle name="Followed Hyperlink" xfId="2870" builtinId="9" hidden="1"/>
    <cellStyle name="Followed Hyperlink" xfId="3004" builtinId="9" hidden="1"/>
    <cellStyle name="Followed Hyperlink" xfId="3133" builtinId="9" hidden="1"/>
    <cellStyle name="Followed Hyperlink" xfId="3261" builtinId="9" hidden="1"/>
    <cellStyle name="Followed Hyperlink" xfId="3386" builtinId="9" hidden="1"/>
    <cellStyle name="Followed Hyperlink" xfId="3514" builtinId="9" hidden="1"/>
    <cellStyle name="Followed Hyperlink" xfId="3643" builtinId="9" hidden="1"/>
    <cellStyle name="Followed Hyperlink" xfId="3771" builtinId="9" hidden="1"/>
    <cellStyle name="Followed Hyperlink" xfId="3903" builtinId="9" hidden="1"/>
    <cellStyle name="Followed Hyperlink" xfId="4032" builtinId="9" hidden="1"/>
    <cellStyle name="Followed Hyperlink" xfId="4160" builtinId="9" hidden="1"/>
    <cellStyle name="Followed Hyperlink" xfId="4285" builtinId="9" hidden="1"/>
    <cellStyle name="Followed Hyperlink" xfId="4413" builtinId="9" hidden="1"/>
    <cellStyle name="Followed Hyperlink" xfId="4534" builtinId="9" hidden="1"/>
    <cellStyle name="Followed Hyperlink" xfId="4662" builtinId="9" hidden="1"/>
    <cellStyle name="Followed Hyperlink" xfId="4796" builtinId="9" hidden="1"/>
    <cellStyle name="Followed Hyperlink" xfId="4925" builtinId="9" hidden="1"/>
    <cellStyle name="Followed Hyperlink" xfId="4829" builtinId="9" hidden="1"/>
    <cellStyle name="Followed Hyperlink" xfId="5178" builtinId="9" hidden="1"/>
    <cellStyle name="Followed Hyperlink" xfId="5306" builtinId="9" hidden="1"/>
    <cellStyle name="Followed Hyperlink" xfId="5436" builtinId="9" hidden="1"/>
    <cellStyle name="Followed Hyperlink" xfId="5564" builtinId="9" hidden="1"/>
    <cellStyle name="Followed Hyperlink" xfId="5695" builtinId="9" hidden="1"/>
    <cellStyle name="Followed Hyperlink" xfId="5824" builtinId="9" hidden="1"/>
    <cellStyle name="Followed Hyperlink" xfId="5949" builtinId="9" hidden="1"/>
    <cellStyle name="Followed Hyperlink" xfId="6077" builtinId="9" hidden="1"/>
    <cellStyle name="Followed Hyperlink" xfId="6205" builtinId="9" hidden="1"/>
    <cellStyle name="Followed Hyperlink" xfId="6323" builtinId="9" hidden="1"/>
    <cellStyle name="Followed Hyperlink" xfId="6451" builtinId="9" hidden="1"/>
    <cellStyle name="Followed Hyperlink" xfId="6581" builtinId="9" hidden="1"/>
    <cellStyle name="Followed Hyperlink" xfId="6710" builtinId="9" hidden="1"/>
    <cellStyle name="Followed Hyperlink" xfId="6835" builtinId="9" hidden="1"/>
    <cellStyle name="Followed Hyperlink" xfId="6963" builtinId="9" hidden="1"/>
    <cellStyle name="Followed Hyperlink" xfId="7091" builtinId="9" hidden="1"/>
    <cellStyle name="Followed Hyperlink" xfId="7219" builtinId="9" hidden="1"/>
    <cellStyle name="Followed Hyperlink" xfId="7347" builtinId="9" hidden="1"/>
    <cellStyle name="Followed Hyperlink" xfId="7477" builtinId="9" hidden="1"/>
    <cellStyle name="Followed Hyperlink" xfId="7606" builtinId="9" hidden="1"/>
    <cellStyle name="Followed Hyperlink" xfId="7731" builtinId="9" hidden="1"/>
    <cellStyle name="Followed Hyperlink" xfId="7859" builtinId="9" hidden="1"/>
    <cellStyle name="Followed Hyperlink" xfId="7987" builtinId="9" hidden="1"/>
    <cellStyle name="Followed Hyperlink" xfId="7889" builtinId="9" hidden="1"/>
    <cellStyle name="Followed Hyperlink" xfId="7761" builtinId="9" hidden="1"/>
    <cellStyle name="Followed Hyperlink" xfId="7636" builtinId="9" hidden="1"/>
    <cellStyle name="Followed Hyperlink" xfId="7508" builtinId="9" hidden="1"/>
    <cellStyle name="Followed Hyperlink" xfId="7377" builtinId="9" hidden="1"/>
    <cellStyle name="Followed Hyperlink" xfId="7249" builtinId="9" hidden="1"/>
    <cellStyle name="Followed Hyperlink" xfId="7121" builtinId="9" hidden="1"/>
    <cellStyle name="Followed Hyperlink" xfId="6993" builtinId="9" hidden="1"/>
    <cellStyle name="Followed Hyperlink" xfId="6865" builtinId="9" hidden="1"/>
    <cellStyle name="Followed Hyperlink" xfId="6740" builtinId="9" hidden="1"/>
    <cellStyle name="Followed Hyperlink" xfId="6612" builtinId="9" hidden="1"/>
    <cellStyle name="Followed Hyperlink" xfId="6481" builtinId="9" hidden="1"/>
    <cellStyle name="Followed Hyperlink" xfId="6353" builtinId="9" hidden="1"/>
    <cellStyle name="Followed Hyperlink" xfId="6235" builtinId="9" hidden="1"/>
    <cellStyle name="Followed Hyperlink" xfId="6107" builtinId="9" hidden="1"/>
    <cellStyle name="Followed Hyperlink" xfId="5979" builtinId="9" hidden="1"/>
    <cellStyle name="Followed Hyperlink" xfId="5854" builtinId="9" hidden="1"/>
    <cellStyle name="Followed Hyperlink" xfId="5726" builtinId="9" hidden="1"/>
    <cellStyle name="Followed Hyperlink" xfId="5594" builtinId="9" hidden="1"/>
    <cellStyle name="Followed Hyperlink" xfId="5466" builtinId="9" hidden="1"/>
    <cellStyle name="Followed Hyperlink" xfId="5336" builtinId="9" hidden="1"/>
    <cellStyle name="Followed Hyperlink" xfId="5208" builtinId="9" hidden="1"/>
    <cellStyle name="Followed Hyperlink" xfId="5080" builtinId="9" hidden="1"/>
    <cellStyle name="Followed Hyperlink" xfId="4955" builtinId="9" hidden="1"/>
    <cellStyle name="Followed Hyperlink" xfId="4826" builtinId="9" hidden="1"/>
    <cellStyle name="Followed Hyperlink" xfId="4692" builtinId="9" hidden="1"/>
    <cellStyle name="Followed Hyperlink" xfId="4564" builtinId="9" hidden="1"/>
    <cellStyle name="Followed Hyperlink" xfId="4443" builtinId="9" hidden="1"/>
    <cellStyle name="Followed Hyperlink" xfId="4315" builtinId="9" hidden="1"/>
    <cellStyle name="Followed Hyperlink" xfId="4187" builtinId="9" hidden="1"/>
    <cellStyle name="Followed Hyperlink" xfId="4062" builtinId="9" hidden="1"/>
    <cellStyle name="Followed Hyperlink" xfId="3933" builtinId="9" hidden="1"/>
    <cellStyle name="Followed Hyperlink" xfId="3801" builtinId="9" hidden="1"/>
    <cellStyle name="Followed Hyperlink" xfId="3673" builtinId="9" hidden="1"/>
    <cellStyle name="Followed Hyperlink" xfId="3544" builtinId="9" hidden="1"/>
    <cellStyle name="Followed Hyperlink" xfId="3416" builtinId="9" hidden="1"/>
    <cellStyle name="Followed Hyperlink" xfId="3288" builtinId="9" hidden="1"/>
    <cellStyle name="Followed Hyperlink" xfId="3163" builtinId="9" hidden="1"/>
    <cellStyle name="Followed Hyperlink" xfId="3034" builtinId="9" hidden="1"/>
    <cellStyle name="Followed Hyperlink" xfId="2900" builtinId="9" hidden="1"/>
    <cellStyle name="Followed Hyperlink" xfId="2772" builtinId="9" hidden="1"/>
    <cellStyle name="Followed Hyperlink" xfId="2642" builtinId="9" hidden="1"/>
    <cellStyle name="Followed Hyperlink" xfId="2514" builtinId="9" hidden="1"/>
    <cellStyle name="Followed Hyperlink" xfId="2386" builtinId="9" hidden="1"/>
    <cellStyle name="Followed Hyperlink" xfId="2261" builtinId="9" hidden="1"/>
    <cellStyle name="Followed Hyperlink" xfId="2132" builtinId="9" hidden="1"/>
    <cellStyle name="Followed Hyperlink" xfId="2001" builtinId="9" hidden="1"/>
    <cellStyle name="Followed Hyperlink" xfId="1873" builtinId="9" hidden="1"/>
    <cellStyle name="Followed Hyperlink" xfId="1747" builtinId="9" hidden="1"/>
    <cellStyle name="Followed Hyperlink" xfId="1619" builtinId="9" hidden="1"/>
    <cellStyle name="Followed Hyperlink" xfId="1494" builtinId="9" hidden="1"/>
    <cellStyle name="Followed Hyperlink" xfId="1366" builtinId="9" hidden="1"/>
    <cellStyle name="Followed Hyperlink" xfId="1237" builtinId="9" hidden="1"/>
    <cellStyle name="Followed Hyperlink" xfId="1105" builtinId="9" hidden="1"/>
    <cellStyle name="Followed Hyperlink" xfId="977" builtinId="9" hidden="1"/>
    <cellStyle name="Followed Hyperlink" xfId="845" builtinId="9" hidden="1"/>
    <cellStyle name="Followed Hyperlink" xfId="717" builtinId="9" hidden="1"/>
    <cellStyle name="Followed Hyperlink" xfId="216" builtinId="9" hidden="1"/>
    <cellStyle name="Followed Hyperlink" xfId="305" builtinId="9" hidden="1"/>
    <cellStyle name="Followed Hyperlink" xfId="392" builtinId="9" hidden="1"/>
    <cellStyle name="Followed Hyperlink" xfId="478" builtinId="9" hidden="1"/>
    <cellStyle name="Followed Hyperlink" xfId="562" builtinId="9" hidden="1"/>
    <cellStyle name="Followed Hyperlink" xfId="500" builtinId="9" hidden="1"/>
    <cellStyle name="Followed Hyperlink" xfId="238" builtinId="9" hidden="1"/>
    <cellStyle name="Followed Hyperlink" xfId="152" builtinId="9" hidden="1"/>
    <cellStyle name="Followed Hyperlink" xfId="46" builtinId="9" hidden="1"/>
    <cellStyle name="Followed Hyperlink" xfId="10" builtinId="9" hidden="1"/>
    <cellStyle name="Followed Hyperlink" xfId="84" builtinId="9" hidden="1"/>
    <cellStyle name="Followed Hyperlink" xfId="190" builtinId="9" hidden="1"/>
    <cellStyle name="Followed Hyperlink" xfId="116" builtinId="9" hidden="1"/>
    <cellStyle name="Followed Hyperlink" xfId="363" builtinId="9" hidden="1"/>
    <cellStyle name="Followed Hyperlink" xfId="605" builtinId="9" hidden="1"/>
    <cellStyle name="Followed Hyperlink" xfId="522" builtinId="9" hidden="1"/>
    <cellStyle name="Followed Hyperlink" xfId="438" builtinId="9" hidden="1"/>
    <cellStyle name="Followed Hyperlink" xfId="351" builtinId="9" hidden="1"/>
    <cellStyle name="Followed Hyperlink" xfId="260" builtinId="9" hidden="1"/>
    <cellStyle name="Followed Hyperlink" xfId="649" builtinId="9" hidden="1"/>
    <cellStyle name="Followed Hyperlink" xfId="777" builtinId="9" hidden="1"/>
    <cellStyle name="Followed Hyperlink" xfId="908" builtinId="9" hidden="1"/>
    <cellStyle name="Followed Hyperlink" xfId="1037" builtinId="9" hidden="1"/>
    <cellStyle name="Followed Hyperlink" xfId="1165" builtinId="9" hidden="1"/>
    <cellStyle name="Followed Hyperlink" xfId="1298" builtinId="9" hidden="1"/>
    <cellStyle name="Followed Hyperlink" xfId="1426" builtinId="9" hidden="1"/>
    <cellStyle name="Followed Hyperlink" xfId="1551" builtinId="9" hidden="1"/>
    <cellStyle name="Followed Hyperlink" xfId="1679" builtinId="9" hidden="1"/>
    <cellStyle name="Followed Hyperlink" xfId="1805" builtinId="9" hidden="1"/>
    <cellStyle name="Followed Hyperlink" xfId="1933" builtinId="9" hidden="1"/>
    <cellStyle name="Followed Hyperlink" xfId="2061" builtinId="9" hidden="1"/>
    <cellStyle name="Followed Hyperlink" xfId="2193" builtinId="9" hidden="1"/>
    <cellStyle name="Followed Hyperlink" xfId="2321" builtinId="9" hidden="1"/>
    <cellStyle name="Followed Hyperlink" xfId="2446" builtinId="9" hidden="1"/>
    <cellStyle name="Followed Hyperlink" xfId="2574" builtinId="9" hidden="1"/>
    <cellStyle name="Followed Hyperlink" xfId="2702" builtinId="9" hidden="1"/>
    <cellStyle name="Followed Hyperlink" xfId="2832" builtinId="9" hidden="1"/>
    <cellStyle name="Followed Hyperlink" xfId="2960" builtinId="9" hidden="1"/>
    <cellStyle name="Followed Hyperlink" xfId="3095" builtinId="9" hidden="1"/>
    <cellStyle name="Followed Hyperlink" xfId="3223" builtinId="9" hidden="1"/>
    <cellStyle name="Followed Hyperlink" xfId="3348" builtinId="9" hidden="1"/>
    <cellStyle name="Followed Hyperlink" xfId="3476" builtinId="9" hidden="1"/>
    <cellStyle name="Followed Hyperlink" xfId="3605" builtinId="9" hidden="1"/>
    <cellStyle name="Followed Hyperlink" xfId="3733" builtinId="9" hidden="1"/>
    <cellStyle name="Followed Hyperlink" xfId="3861" builtinId="9" hidden="1"/>
    <cellStyle name="Followed Hyperlink" xfId="3994" builtinId="9" hidden="1"/>
    <cellStyle name="Followed Hyperlink" xfId="4122" builtinId="9" hidden="1"/>
    <cellStyle name="Followed Hyperlink" xfId="4247" builtinId="9" hidden="1"/>
    <cellStyle name="Followed Hyperlink" xfId="4375" builtinId="9" hidden="1"/>
    <cellStyle name="Followed Hyperlink" xfId="4494" builtinId="9" hidden="1"/>
    <cellStyle name="Followed Hyperlink" xfId="4624" builtinId="9" hidden="1"/>
    <cellStyle name="Followed Hyperlink" xfId="4758" builtinId="9" hidden="1"/>
    <cellStyle name="Followed Hyperlink" xfId="4887" builtinId="9" hidden="1"/>
    <cellStyle name="Followed Hyperlink" xfId="5015" builtinId="9" hidden="1"/>
    <cellStyle name="Followed Hyperlink" xfId="5140" builtinId="9" hidden="1"/>
    <cellStyle name="Followed Hyperlink" xfId="5268" builtinId="9" hidden="1"/>
    <cellStyle name="Followed Hyperlink" xfId="5398" builtinId="9" hidden="1"/>
    <cellStyle name="Followed Hyperlink" xfId="5526" builtinId="9" hidden="1"/>
    <cellStyle name="Followed Hyperlink" xfId="5657" builtinId="9" hidden="1"/>
    <cellStyle name="Followed Hyperlink" xfId="5786" builtinId="9" hidden="1"/>
    <cellStyle name="Followed Hyperlink" xfId="5914" builtinId="9" hidden="1"/>
    <cellStyle name="Followed Hyperlink" xfId="6039" builtinId="9" hidden="1"/>
    <cellStyle name="Followed Hyperlink" xfId="6167" builtinId="9" hidden="1"/>
    <cellStyle name="Followed Hyperlink" xfId="6285" builtinId="9" hidden="1"/>
    <cellStyle name="Followed Hyperlink" xfId="6413" builtinId="9" hidden="1"/>
    <cellStyle name="Followed Hyperlink" xfId="6543" builtinId="9" hidden="1"/>
    <cellStyle name="Followed Hyperlink" xfId="6672" builtinId="9" hidden="1"/>
    <cellStyle name="Followed Hyperlink" xfId="6800" builtinId="9" hidden="1"/>
    <cellStyle name="Followed Hyperlink" xfId="6925" builtinId="9" hidden="1"/>
    <cellStyle name="Followed Hyperlink" xfId="7053" builtinId="9" hidden="1"/>
    <cellStyle name="Followed Hyperlink" xfId="7181" builtinId="9" hidden="1"/>
    <cellStyle name="Followed Hyperlink" xfId="7309" builtinId="9" hidden="1"/>
    <cellStyle name="Followed Hyperlink" xfId="7439" builtinId="9" hidden="1"/>
    <cellStyle name="Followed Hyperlink" xfId="7568" builtinId="9" hidden="1"/>
    <cellStyle name="Followed Hyperlink" xfId="7696" builtinId="9" hidden="1"/>
    <cellStyle name="Followed Hyperlink" xfId="7821" builtinId="9" hidden="1"/>
    <cellStyle name="Followed Hyperlink" xfId="7949" builtinId="9" hidden="1"/>
    <cellStyle name="Followed Hyperlink" xfId="7927" builtinId="9" hidden="1"/>
    <cellStyle name="Followed Hyperlink" xfId="7799" builtinId="9" hidden="1"/>
    <cellStyle name="Followed Hyperlink" xfId="7674" builtinId="9" hidden="1"/>
    <cellStyle name="Followed Hyperlink" xfId="7546" builtinId="9" hidden="1"/>
    <cellStyle name="Followed Hyperlink" xfId="7417" builtinId="9" hidden="1"/>
    <cellStyle name="Followed Hyperlink" xfId="7287" builtinId="9" hidden="1"/>
    <cellStyle name="Followed Hyperlink" xfId="7159" builtinId="9" hidden="1"/>
    <cellStyle name="Followed Hyperlink" xfId="7031" builtinId="9" hidden="1"/>
    <cellStyle name="Followed Hyperlink" xfId="6903" builtinId="9" hidden="1"/>
    <cellStyle name="Followed Hyperlink" xfId="6778" builtinId="9" hidden="1"/>
    <cellStyle name="Followed Hyperlink" xfId="6650" builtinId="9" hidden="1"/>
    <cellStyle name="Followed Hyperlink" xfId="6519" builtinId="9" hidden="1"/>
    <cellStyle name="Followed Hyperlink" xfId="6391" builtinId="9" hidden="1"/>
    <cellStyle name="Followed Hyperlink" xfId="6263" builtinId="9" hidden="1"/>
    <cellStyle name="Followed Hyperlink" xfId="6145" builtinId="9" hidden="1"/>
    <cellStyle name="Followed Hyperlink" xfId="6017" builtinId="9" hidden="1"/>
    <cellStyle name="Followed Hyperlink" xfId="5892" builtinId="9" hidden="1"/>
    <cellStyle name="Followed Hyperlink" xfId="5764" builtinId="9" hidden="1"/>
    <cellStyle name="Followed Hyperlink" xfId="5632" builtinId="9" hidden="1"/>
    <cellStyle name="Followed Hyperlink" xfId="5504" builtinId="9" hidden="1"/>
    <cellStyle name="Followed Hyperlink" xfId="5376" builtinId="9" hidden="1"/>
    <cellStyle name="Followed Hyperlink" xfId="5246" builtinId="9" hidden="1"/>
    <cellStyle name="Followed Hyperlink" xfId="5118" builtinId="9" hidden="1"/>
    <cellStyle name="Followed Hyperlink" xfId="4993" builtinId="9" hidden="1"/>
    <cellStyle name="Followed Hyperlink" xfId="4865" builtinId="9" hidden="1"/>
    <cellStyle name="Followed Hyperlink" xfId="4730" builtinId="9" hidden="1"/>
    <cellStyle name="Followed Hyperlink" xfId="4602" builtinId="9" hidden="1"/>
    <cellStyle name="Followed Hyperlink" xfId="4472" builtinId="9" hidden="1"/>
    <cellStyle name="Followed Hyperlink" xfId="4353" builtinId="9" hidden="1"/>
    <cellStyle name="Followed Hyperlink" xfId="2624" builtinId="9" hidden="1"/>
    <cellStyle name="Followed Hyperlink" xfId="2712" builtinId="9" hidden="1"/>
    <cellStyle name="Followed Hyperlink" xfId="2802" builtinId="9" hidden="1"/>
    <cellStyle name="Followed Hyperlink" xfId="2882" builtinId="9" hidden="1"/>
    <cellStyle name="Followed Hyperlink" xfId="2970" builtinId="9" hidden="1"/>
    <cellStyle name="Followed Hyperlink" xfId="3065" builtinId="9" hidden="1"/>
    <cellStyle name="Followed Hyperlink" xfId="3145" builtinId="9" hidden="1"/>
    <cellStyle name="Followed Hyperlink" xfId="3233" builtinId="9" hidden="1"/>
    <cellStyle name="Followed Hyperlink" xfId="3318" builtinId="9" hidden="1"/>
    <cellStyle name="Followed Hyperlink" xfId="3398" builtinId="9" hidden="1"/>
    <cellStyle name="Followed Hyperlink" xfId="3486" builtinId="9" hidden="1"/>
    <cellStyle name="Followed Hyperlink" xfId="3575" builtinId="9" hidden="1"/>
    <cellStyle name="Followed Hyperlink" xfId="3655" builtinId="9" hidden="1"/>
    <cellStyle name="Followed Hyperlink" xfId="3743" builtinId="9" hidden="1"/>
    <cellStyle name="Followed Hyperlink" xfId="3831" builtinId="9" hidden="1"/>
    <cellStyle name="Followed Hyperlink" xfId="3915" builtinId="9" hidden="1"/>
    <cellStyle name="Followed Hyperlink" xfId="4004" builtinId="9" hidden="1"/>
    <cellStyle name="Followed Hyperlink" xfId="4092" builtinId="9" hidden="1"/>
    <cellStyle name="Followed Hyperlink" xfId="4169" builtinId="9" hidden="1"/>
    <cellStyle name="Followed Hyperlink" xfId="4177" builtinId="9" hidden="1"/>
    <cellStyle name="Followed Hyperlink" xfId="3923" builtinId="9" hidden="1"/>
    <cellStyle name="Followed Hyperlink" xfId="3663" builtinId="9" hidden="1"/>
    <cellStyle name="Followed Hyperlink" xfId="3406" builtinId="9" hidden="1"/>
    <cellStyle name="Followed Hyperlink" xfId="3153" builtinId="9" hidden="1"/>
    <cellStyle name="Followed Hyperlink" xfId="2890" builtinId="9" hidden="1"/>
    <cellStyle name="Followed Hyperlink" xfId="2632" builtinId="9" hidden="1"/>
    <cellStyle name="Followed Hyperlink" xfId="2235" builtinId="9" hidden="1"/>
    <cellStyle name="Followed Hyperlink" xfId="2307" builtinId="9" hidden="1"/>
    <cellStyle name="Followed Hyperlink" xfId="2379" builtinId="9" hidden="1"/>
    <cellStyle name="Followed Hyperlink" xfId="2448" builtinId="9" hidden="1"/>
    <cellStyle name="Followed Hyperlink" xfId="2520" builtinId="9" hidden="1"/>
    <cellStyle name="Followed Hyperlink" xfId="2592" builtinId="9" hidden="1"/>
    <cellStyle name="Followed Hyperlink" xfId="2283" builtinId="9" hidden="1"/>
    <cellStyle name="Followed Hyperlink" xfId="2031" builtinId="9" hidden="1"/>
    <cellStyle name="Followed Hyperlink" xfId="2106" builtinId="9" hidden="1"/>
    <cellStyle name="Followed Hyperlink" xfId="2090" builtinId="9" hidden="1"/>
    <cellStyle name="Followed Hyperlink" xfId="1951" builtinId="9" hidden="1"/>
    <cellStyle name="Followed Hyperlink" xfId="1887" builtinId="9" hidden="1"/>
    <cellStyle name="Followed Hyperlink" xfId="1839" builtinId="9" hidden="1"/>
    <cellStyle name="Followed Hyperlink" xfId="1967" builtinId="9" hidden="1"/>
    <cellStyle name="Followed Hyperlink" xfId="1895" builtinId="9" hidden="1"/>
    <cellStyle name="Followed Hyperlink" xfId="2114" builtinId="9" hidden="1"/>
    <cellStyle name="Followed Hyperlink" xfId="2039" builtinId="9" hidden="1"/>
    <cellStyle name="Followed Hyperlink" xfId="2219" builtinId="9" hidden="1"/>
    <cellStyle name="Followed Hyperlink" xfId="2608" builtinId="9" hidden="1"/>
    <cellStyle name="Followed Hyperlink" xfId="2528" builtinId="9" hidden="1"/>
    <cellStyle name="Followed Hyperlink" xfId="2456" builtinId="9" hidden="1"/>
    <cellStyle name="Followed Hyperlink" xfId="2384" builtinId="9" hidden="1"/>
    <cellStyle name="Followed Hyperlink" xfId="2315" builtinId="9" hidden="1"/>
    <cellStyle name="Followed Hyperlink" xfId="2243" builtinId="9" hidden="1"/>
    <cellStyle name="Followed Hyperlink" xfId="2171" builtinId="9" hidden="1"/>
    <cellStyle name="Followed Hyperlink" xfId="2858" builtinId="9" hidden="1"/>
    <cellStyle name="Followed Hyperlink" xfId="3121" builtinId="9" hidden="1"/>
    <cellStyle name="Followed Hyperlink" xfId="3374" builtinId="9" hidden="1"/>
    <cellStyle name="Followed Hyperlink" xfId="3631" builtinId="9" hidden="1"/>
    <cellStyle name="Followed Hyperlink" xfId="3891" builtinId="9" hidden="1"/>
    <cellStyle name="Followed Hyperlink" xfId="4148" builtinId="9" hidden="1"/>
    <cellStyle name="Followed Hyperlink" xfId="4185" builtinId="9" hidden="1"/>
    <cellStyle name="Followed Hyperlink" xfId="4100" builtinId="9" hidden="1"/>
    <cellStyle name="Followed Hyperlink" xfId="4012" builtinId="9" hidden="1"/>
    <cellStyle name="Followed Hyperlink" xfId="3931" builtinId="9" hidden="1"/>
    <cellStyle name="Followed Hyperlink" xfId="3839" builtinId="9" hidden="1"/>
    <cellStyle name="Followed Hyperlink" xfId="3751" builtinId="9" hidden="1"/>
    <cellStyle name="Followed Hyperlink" xfId="3671" builtinId="9" hidden="1"/>
    <cellStyle name="Followed Hyperlink" xfId="3583" builtinId="9" hidden="1"/>
    <cellStyle name="Followed Hyperlink" xfId="3494" builtinId="9" hidden="1"/>
    <cellStyle name="Followed Hyperlink" xfId="3414" builtinId="9" hidden="1"/>
    <cellStyle name="Followed Hyperlink" xfId="3326" builtinId="9" hidden="1"/>
    <cellStyle name="Followed Hyperlink" xfId="3241" builtinId="9" hidden="1"/>
    <cellStyle name="Followed Hyperlink" xfId="3161" builtinId="9" hidden="1"/>
    <cellStyle name="Followed Hyperlink" xfId="3073" builtinId="9" hidden="1"/>
    <cellStyle name="Followed Hyperlink" xfId="2984" builtinId="9" hidden="1"/>
    <cellStyle name="Followed Hyperlink" xfId="2898" builtinId="9" hidden="1"/>
    <cellStyle name="Followed Hyperlink" xfId="2810" builtinId="9" hidden="1"/>
    <cellStyle name="Followed Hyperlink" xfId="2720" builtinId="9" hidden="1"/>
    <cellStyle name="Followed Hyperlink" xfId="2640" builtinId="9" hidden="1"/>
    <cellStyle name="Followed Hyperlink" xfId="4337" builtinId="9" hidden="1"/>
    <cellStyle name="Followed Hyperlink" xfId="2083" builtinId="9" hidden="1"/>
    <cellStyle name="Followed Hyperlink" xfId="4586" builtinId="9" hidden="1"/>
    <cellStyle name="Followed Hyperlink" xfId="4714" builtinId="9" hidden="1"/>
    <cellStyle name="Followed Hyperlink" xfId="4849" builtinId="9" hidden="1"/>
    <cellStyle name="Followed Hyperlink" xfId="4977" builtinId="9" hidden="1"/>
    <cellStyle name="Followed Hyperlink" xfId="5102" builtinId="9" hidden="1"/>
    <cellStyle name="Followed Hyperlink" xfId="5230" builtinId="9" hidden="1"/>
    <cellStyle name="Followed Hyperlink" xfId="5360" builtinId="9" hidden="1"/>
    <cellStyle name="Followed Hyperlink" xfId="5488" builtinId="9" hidden="1"/>
    <cellStyle name="Followed Hyperlink" xfId="5616" builtinId="9" hidden="1"/>
    <cellStyle name="Followed Hyperlink" xfId="5748" builtinId="9" hidden="1"/>
    <cellStyle name="Followed Hyperlink" xfId="5876" builtinId="9" hidden="1"/>
    <cellStyle name="Followed Hyperlink" xfId="6001" builtinId="9" hidden="1"/>
    <cellStyle name="Followed Hyperlink" xfId="6129" builtinId="9" hidden="1"/>
    <cellStyle name="Followed Hyperlink" xfId="6247" builtinId="9" hidden="1"/>
    <cellStyle name="Followed Hyperlink" xfId="6375" builtinId="9" hidden="1"/>
    <cellStyle name="Followed Hyperlink" xfId="6503" builtinId="9" hidden="1"/>
    <cellStyle name="Followed Hyperlink" xfId="6634" builtinId="9" hidden="1"/>
    <cellStyle name="Followed Hyperlink" xfId="6762" builtinId="9" hidden="1"/>
    <cellStyle name="Followed Hyperlink" xfId="6887" builtinId="9" hidden="1"/>
    <cellStyle name="Followed Hyperlink" xfId="7015" builtinId="9" hidden="1"/>
    <cellStyle name="Followed Hyperlink" xfId="7143" builtinId="9" hidden="1"/>
    <cellStyle name="Followed Hyperlink" xfId="7271" builtinId="9" hidden="1"/>
    <cellStyle name="Followed Hyperlink" xfId="7399" builtinId="9" hidden="1"/>
    <cellStyle name="Followed Hyperlink" xfId="7530" builtinId="9" hidden="1"/>
    <cellStyle name="Followed Hyperlink" xfId="7658" builtinId="9" hidden="1"/>
    <cellStyle name="Followed Hyperlink" xfId="7783" builtinId="9" hidden="1"/>
    <cellStyle name="Followed Hyperlink" xfId="7911" builtinId="9" hidden="1"/>
    <cellStyle name="Followed Hyperlink" xfId="7965" builtinId="9" hidden="1"/>
    <cellStyle name="Followed Hyperlink" xfId="7837" builtinId="9" hidden="1"/>
    <cellStyle name="Followed Hyperlink" xfId="7412" builtinId="9" hidden="1"/>
    <cellStyle name="Followed Hyperlink" xfId="7584" builtinId="9" hidden="1"/>
    <cellStyle name="Followed Hyperlink" xfId="7455" builtinId="9" hidden="1"/>
    <cellStyle name="Followed Hyperlink" xfId="7325" builtinId="9" hidden="1"/>
    <cellStyle name="Followed Hyperlink" xfId="7197" builtinId="9" hidden="1"/>
    <cellStyle name="Followed Hyperlink" xfId="7069" builtinId="9" hidden="1"/>
    <cellStyle name="Followed Hyperlink" xfId="6941" builtinId="9" hidden="1"/>
    <cellStyle name="Followed Hyperlink" xfId="6816" builtinId="9" hidden="1"/>
    <cellStyle name="Followed Hyperlink" xfId="6688" builtinId="9" hidden="1"/>
    <cellStyle name="Followed Hyperlink" xfId="6559" builtinId="9" hidden="1"/>
    <cellStyle name="Followed Hyperlink" xfId="6429" builtinId="9" hidden="1"/>
    <cellStyle name="Followed Hyperlink" xfId="6301" builtinId="9" hidden="1"/>
    <cellStyle name="Followed Hyperlink" xfId="6183" builtinId="9" hidden="1"/>
    <cellStyle name="Followed Hyperlink" xfId="6055" builtinId="9" hidden="1"/>
    <cellStyle name="Followed Hyperlink" xfId="5930" builtinId="9" hidden="1"/>
    <cellStyle name="Followed Hyperlink" xfId="5802" builtinId="9" hidden="1"/>
    <cellStyle name="Followed Hyperlink" xfId="5673" builtinId="9" hidden="1"/>
    <cellStyle name="Followed Hyperlink" xfId="5542" builtinId="9" hidden="1"/>
    <cellStyle name="Followed Hyperlink" xfId="5414" builtinId="9" hidden="1"/>
    <cellStyle name="Followed Hyperlink" xfId="5284" builtinId="9" hidden="1"/>
    <cellStyle name="Followed Hyperlink" xfId="5156" builtinId="9" hidden="1"/>
    <cellStyle name="Followed Hyperlink" xfId="5031" builtinId="9" hidden="1"/>
    <cellStyle name="Followed Hyperlink" xfId="4903" builtinId="9" hidden="1"/>
    <cellStyle name="Followed Hyperlink" xfId="4774" builtinId="9" hidden="1"/>
    <cellStyle name="Followed Hyperlink" xfId="4640" builtinId="9" hidden="1"/>
    <cellStyle name="Followed Hyperlink" xfId="4510" builtinId="9" hidden="1"/>
    <cellStyle name="Followed Hyperlink" xfId="4391" builtinId="9" hidden="1"/>
    <cellStyle name="Followed Hyperlink" xfId="4263" builtinId="9" hidden="1"/>
    <cellStyle name="Followed Hyperlink" xfId="4138" builtinId="9" hidden="1"/>
    <cellStyle name="Followed Hyperlink" xfId="4010" builtinId="9" hidden="1"/>
    <cellStyle name="Followed Hyperlink" xfId="3881" builtinId="9" hidden="1"/>
    <cellStyle name="Followed Hyperlink" xfId="3749" builtinId="9" hidden="1"/>
    <cellStyle name="Followed Hyperlink" xfId="3621" builtinId="9" hidden="1"/>
    <cellStyle name="Followed Hyperlink" xfId="3492" builtinId="9" hidden="1"/>
    <cellStyle name="Followed Hyperlink" xfId="3364" builtinId="9" hidden="1"/>
    <cellStyle name="Followed Hyperlink" xfId="3239" builtinId="9" hidden="1"/>
    <cellStyle name="Followed Hyperlink" xfId="3111" builtinId="9" hidden="1"/>
    <cellStyle name="Followed Hyperlink" xfId="2982" builtinId="9" hidden="1"/>
    <cellStyle name="Followed Hyperlink" xfId="2848" builtinId="9" hidden="1"/>
    <cellStyle name="Followed Hyperlink" xfId="2718" builtinId="9" hidden="1"/>
    <cellStyle name="Followed Hyperlink" xfId="2590" builtinId="9" hidden="1"/>
    <cellStyle name="Followed Hyperlink" xfId="2462" builtinId="9" hidden="1"/>
    <cellStyle name="Followed Hyperlink" xfId="2337" builtinId="9" hidden="1"/>
    <cellStyle name="Followed Hyperlink" xfId="2209" builtinId="9" hidden="1"/>
    <cellStyle name="Followed Hyperlink" xfId="2077" builtinId="9" hidden="1"/>
    <cellStyle name="Followed Hyperlink" xfId="1949" builtinId="9" hidden="1"/>
    <cellStyle name="Followed Hyperlink" xfId="1821" builtinId="9" hidden="1"/>
    <cellStyle name="Followed Hyperlink" xfId="1695" builtinId="9" hidden="1"/>
    <cellStyle name="Followed Hyperlink" xfId="1567" builtinId="9" hidden="1"/>
    <cellStyle name="Followed Hyperlink" xfId="1442" builtinId="9" hidden="1"/>
    <cellStyle name="Followed Hyperlink" xfId="1314" builtinId="9" hidden="1"/>
    <cellStyle name="Followed Hyperlink" xfId="1181" builtinId="9" hidden="1"/>
    <cellStyle name="Followed Hyperlink" xfId="1053" builtinId="9" hidden="1"/>
    <cellStyle name="Followed Hyperlink" xfId="924" builtinId="9" hidden="1"/>
    <cellStyle name="Followed Hyperlink" xfId="793" builtinId="9" hidden="1"/>
    <cellStyle name="Followed Hyperlink" xfId="665" builtinId="9" hidden="1"/>
    <cellStyle name="Followed Hyperlink" xfId="250" builtinId="9" hidden="1"/>
    <cellStyle name="Followed Hyperlink" xfId="341" builtinId="9" hidden="1"/>
    <cellStyle name="Followed Hyperlink" xfId="426" builtinId="9" hidden="1"/>
    <cellStyle name="Followed Hyperlink" xfId="512" builtinId="9" hidden="1"/>
    <cellStyle name="Followed Hyperlink" xfId="598" builtinId="9" hidden="1"/>
    <cellStyle name="Followed Hyperlink" xfId="396" builtinId="9" hidden="1"/>
    <cellStyle name="Followed Hyperlink" xfId="108" builtinId="9" hidden="1"/>
    <cellStyle name="Followed Hyperlink" xfId="180" builtinId="9" hidden="1"/>
    <cellStyle name="Followed Hyperlink" xfId="74" builtinId="9" hidden="1"/>
    <cellStyle name="Followed Hyperlink" xfId="18" builtinId="9" hidden="1"/>
    <cellStyle name="Followed Hyperlink" xfId="54" builtinId="9" hidden="1"/>
    <cellStyle name="Followed Hyperlink" xfId="160" builtinId="9" hidden="1"/>
    <cellStyle name="Followed Hyperlink" xfId="206" builtinId="9" hidden="1"/>
    <cellStyle name="Followed Hyperlink" xfId="468" builtinId="9" hidden="1"/>
    <cellStyle name="Followed Hyperlink" xfId="574" builtinId="9" hidden="1"/>
    <cellStyle name="Followed Hyperlink" xfId="488" builtinId="9" hidden="1"/>
    <cellStyle name="Followed Hyperlink" xfId="402" builtinId="9" hidden="1"/>
    <cellStyle name="Followed Hyperlink" xfId="317" builtinId="9" hidden="1"/>
    <cellStyle name="Followed Hyperlink" xfId="226" builtinId="9" hidden="1"/>
    <cellStyle name="Followed Hyperlink" xfId="701" builtinId="9" hidden="1"/>
    <cellStyle name="Followed Hyperlink" xfId="829" builtinId="9" hidden="1"/>
    <cellStyle name="Followed Hyperlink" xfId="960" builtinId="9" hidden="1"/>
    <cellStyle name="Followed Hyperlink" xfId="1089" builtinId="9" hidden="1"/>
    <cellStyle name="Followed Hyperlink" xfId="1221" builtinId="9" hidden="1"/>
    <cellStyle name="Followed Hyperlink" xfId="1350" builtinId="9" hidden="1"/>
    <cellStyle name="Followed Hyperlink" xfId="1478" builtinId="9" hidden="1"/>
    <cellStyle name="Followed Hyperlink" xfId="1603" builtinId="9" hidden="1"/>
    <cellStyle name="Followed Hyperlink" xfId="1731" builtinId="9" hidden="1"/>
    <cellStyle name="Followed Hyperlink" xfId="1857" builtinId="9" hidden="1"/>
    <cellStyle name="Followed Hyperlink" xfId="1985" builtinId="9" hidden="1"/>
    <cellStyle name="Followed Hyperlink" xfId="2116" builtinId="9" hidden="1"/>
    <cellStyle name="Followed Hyperlink" xfId="2245" builtinId="9" hidden="1"/>
    <cellStyle name="Followed Hyperlink" xfId="2373" builtinId="9" hidden="1"/>
    <cellStyle name="Followed Hyperlink" xfId="2498" builtinId="9" hidden="1"/>
    <cellStyle name="Followed Hyperlink" xfId="2626" builtinId="9" hidden="1"/>
    <cellStyle name="Followed Hyperlink" xfId="2756" builtinId="9" hidden="1"/>
    <cellStyle name="Followed Hyperlink" xfId="2884" builtinId="9" hidden="1"/>
    <cellStyle name="Followed Hyperlink" xfId="3018" builtinId="9" hidden="1"/>
    <cellStyle name="Followed Hyperlink" xfId="3147" builtinId="9" hidden="1"/>
    <cellStyle name="Followed Hyperlink" xfId="3275" builtinId="9" hidden="1"/>
    <cellStyle name="Followed Hyperlink" xfId="3400" builtinId="9" hidden="1"/>
    <cellStyle name="Followed Hyperlink" xfId="3528" builtinId="9" hidden="1"/>
    <cellStyle name="Followed Hyperlink" xfId="3657" builtinId="9" hidden="1"/>
    <cellStyle name="Followed Hyperlink" xfId="3785" builtinId="9" hidden="1"/>
    <cellStyle name="Followed Hyperlink" xfId="3917" builtinId="9" hidden="1"/>
    <cellStyle name="Followed Hyperlink" xfId="4046" builtinId="9" hidden="1"/>
    <cellStyle name="Followed Hyperlink" xfId="4171" builtinId="9" hidden="1"/>
    <cellStyle name="Followed Hyperlink" xfId="4299" builtinId="9" hidden="1"/>
    <cellStyle name="Followed Hyperlink" xfId="4427" builtinId="9" hidden="1"/>
    <cellStyle name="Followed Hyperlink" xfId="4548" builtinId="9" hidden="1"/>
    <cellStyle name="Followed Hyperlink" xfId="4676" builtinId="9" hidden="1"/>
    <cellStyle name="Followed Hyperlink" xfId="4810" builtinId="9" hidden="1"/>
    <cellStyle name="Followed Hyperlink" xfId="4939" builtinId="9" hidden="1"/>
    <cellStyle name="Followed Hyperlink" xfId="5064" builtinId="9" hidden="1"/>
    <cellStyle name="Followed Hyperlink" xfId="5192" builtinId="9" hidden="1"/>
    <cellStyle name="Followed Hyperlink" xfId="5320" builtinId="9" hidden="1"/>
    <cellStyle name="Followed Hyperlink" xfId="5450" builtinId="9" hidden="1"/>
    <cellStyle name="Followed Hyperlink" xfId="5578" builtinId="9" hidden="1"/>
    <cellStyle name="Followed Hyperlink" xfId="5709" builtinId="9" hidden="1"/>
    <cellStyle name="Followed Hyperlink" xfId="5838" builtinId="9" hidden="1"/>
    <cellStyle name="Followed Hyperlink" xfId="5963" builtinId="9" hidden="1"/>
    <cellStyle name="Followed Hyperlink" xfId="6091" builtinId="9" hidden="1"/>
    <cellStyle name="Followed Hyperlink" xfId="6219" builtinId="9" hidden="1"/>
    <cellStyle name="Followed Hyperlink" xfId="6337" builtinId="9" hidden="1"/>
    <cellStyle name="Followed Hyperlink" xfId="6465" builtinId="9" hidden="1"/>
    <cellStyle name="Followed Hyperlink" xfId="6595" builtinId="9" hidden="1"/>
    <cellStyle name="Followed Hyperlink" xfId="6724" builtinId="9" hidden="1"/>
    <cellStyle name="Followed Hyperlink" xfId="6849" builtinId="9" hidden="1"/>
    <cellStyle name="Followed Hyperlink" xfId="6977" builtinId="9" hidden="1"/>
    <cellStyle name="Followed Hyperlink" xfId="7105" builtinId="9" hidden="1"/>
    <cellStyle name="Followed Hyperlink" xfId="7233" builtinId="9" hidden="1"/>
    <cellStyle name="Followed Hyperlink" xfId="7361" builtinId="9" hidden="1"/>
    <cellStyle name="Followed Hyperlink" xfId="7492" builtinId="9" hidden="1"/>
    <cellStyle name="Followed Hyperlink" xfId="7620" builtinId="9" hidden="1"/>
    <cellStyle name="Followed Hyperlink" xfId="7745" builtinId="9" hidden="1"/>
    <cellStyle name="Followed Hyperlink" xfId="7873" builtinId="9" hidden="1"/>
    <cellStyle name="Followed Hyperlink" xfId="8001" builtinId="9" hidden="1"/>
    <cellStyle name="Followed Hyperlink" xfId="7875" builtinId="9" hidden="1"/>
    <cellStyle name="Followed Hyperlink" xfId="7747" builtinId="9" hidden="1"/>
    <cellStyle name="Followed Hyperlink" xfId="7622" builtinId="9" hidden="1"/>
    <cellStyle name="Followed Hyperlink" xfId="7494" builtinId="9" hidden="1"/>
    <cellStyle name="Followed Hyperlink" xfId="7363" builtinId="9" hidden="1"/>
    <cellStyle name="Followed Hyperlink" xfId="7235" builtinId="9" hidden="1"/>
    <cellStyle name="Followed Hyperlink" xfId="7107" builtinId="9" hidden="1"/>
    <cellStyle name="Followed Hyperlink" xfId="6979" builtinId="9" hidden="1"/>
    <cellStyle name="Followed Hyperlink" xfId="6851" builtinId="9" hidden="1"/>
    <cellStyle name="Followed Hyperlink" xfId="6726" builtinId="9" hidden="1"/>
    <cellStyle name="Followed Hyperlink" xfId="6597" builtinId="9" hidden="1"/>
    <cellStyle name="Followed Hyperlink" xfId="6467" builtinId="9" hidden="1"/>
    <cellStyle name="Followed Hyperlink" xfId="6339" builtinId="9" hidden="1"/>
    <cellStyle name="Followed Hyperlink" xfId="6221" builtinId="9" hidden="1"/>
    <cellStyle name="Followed Hyperlink" xfId="6093" builtinId="9" hidden="1"/>
    <cellStyle name="Followed Hyperlink" xfId="5965" builtinId="9" hidden="1"/>
    <cellStyle name="Followed Hyperlink" xfId="5840" builtinId="9" hidden="1"/>
    <cellStyle name="Followed Hyperlink" xfId="5711" builtinId="9" hidden="1"/>
    <cellStyle name="Followed Hyperlink" xfId="5580" builtinId="9" hidden="1"/>
    <cellStyle name="Followed Hyperlink" xfId="5452" builtinId="9" hidden="1"/>
    <cellStyle name="Followed Hyperlink" xfId="5322" builtinId="9" hidden="1"/>
    <cellStyle name="Followed Hyperlink" xfId="5194" builtinId="9" hidden="1"/>
    <cellStyle name="Followed Hyperlink" xfId="5066" builtinId="9" hidden="1"/>
    <cellStyle name="Followed Hyperlink" xfId="4941" builtinId="9" hidden="1"/>
    <cellStyle name="Followed Hyperlink" xfId="4812" builtinId="9" hidden="1"/>
    <cellStyle name="Followed Hyperlink" xfId="4678" builtinId="9" hidden="1"/>
    <cellStyle name="Followed Hyperlink" xfId="4550" builtinId="9" hidden="1"/>
    <cellStyle name="Followed Hyperlink" xfId="4429" builtinId="9" hidden="1"/>
    <cellStyle name="Followed Hyperlink" xfId="4301" builtinId="9" hidden="1"/>
    <cellStyle name="Followed Hyperlink" xfId="4173" builtinId="9" hidden="1"/>
    <cellStyle name="Followed Hyperlink" xfId="4048" builtinId="9" hidden="1"/>
    <cellStyle name="Followed Hyperlink" xfId="3919" builtinId="9" hidden="1"/>
    <cellStyle name="Followed Hyperlink" xfId="7899" builtinId="9" hidden="1"/>
    <cellStyle name="Followed Hyperlink" xfId="7771" builtinId="9" hidden="1"/>
    <cellStyle name="Followed Hyperlink" xfId="7486" builtinId="9" hidden="1"/>
    <cellStyle name="Followed Hyperlink" xfId="7646" builtinId="9" hidden="1"/>
    <cellStyle name="Followed Hyperlink" xfId="7518" builtinId="9" hidden="1"/>
    <cellStyle name="Followed Hyperlink" xfId="7453" builtinId="9" hidden="1"/>
    <cellStyle name="Followed Hyperlink" xfId="7387" builtinId="9" hidden="1"/>
    <cellStyle name="Followed Hyperlink" xfId="7259" builtinId="9" hidden="1"/>
    <cellStyle name="Followed Hyperlink" xfId="7195" builtinId="9" hidden="1"/>
    <cellStyle name="Followed Hyperlink" xfId="7131" builtinId="9" hidden="1"/>
    <cellStyle name="Followed Hyperlink" xfId="7003" builtinId="9" hidden="1"/>
    <cellStyle name="Followed Hyperlink" xfId="6939" builtinId="9" hidden="1"/>
    <cellStyle name="Followed Hyperlink" xfId="6875" builtinId="9" hidden="1"/>
    <cellStyle name="Followed Hyperlink" xfId="6750" builtinId="9" hidden="1"/>
    <cellStyle name="Followed Hyperlink" xfId="6686" builtinId="9" hidden="1"/>
    <cellStyle name="Followed Hyperlink" xfId="6622" builtinId="9" hidden="1"/>
    <cellStyle name="Followed Hyperlink" xfId="6491" builtinId="9" hidden="1"/>
    <cellStyle name="Followed Hyperlink" xfId="6427" builtinId="9" hidden="1"/>
    <cellStyle name="Followed Hyperlink" xfId="6363" builtinId="9" hidden="1"/>
    <cellStyle name="Followed Hyperlink" xfId="4753" builtinId="9" hidden="1"/>
    <cellStyle name="Followed Hyperlink" xfId="6181" builtinId="9" hidden="1"/>
    <cellStyle name="Followed Hyperlink" xfId="6117" builtinId="9" hidden="1"/>
    <cellStyle name="Followed Hyperlink" xfId="5989" builtinId="9" hidden="1"/>
    <cellStyle name="Followed Hyperlink" xfId="5928" builtinId="9" hidden="1"/>
    <cellStyle name="Followed Hyperlink" xfId="5864" builtinId="9" hidden="1"/>
    <cellStyle name="Followed Hyperlink" xfId="5736" builtinId="9" hidden="1"/>
    <cellStyle name="Followed Hyperlink" xfId="5671" builtinId="9" hidden="1"/>
    <cellStyle name="Followed Hyperlink" xfId="5604" builtinId="9" hidden="1"/>
    <cellStyle name="Followed Hyperlink" xfId="5476" builtinId="9" hidden="1"/>
    <cellStyle name="Followed Hyperlink" xfId="5412" builtinId="9" hidden="1"/>
    <cellStyle name="Followed Hyperlink" xfId="5348" builtinId="9" hidden="1"/>
    <cellStyle name="Followed Hyperlink" xfId="5218" builtinId="9" hidden="1"/>
    <cellStyle name="Followed Hyperlink" xfId="5154" builtinId="9" hidden="1"/>
    <cellStyle name="Followed Hyperlink" xfId="5090" builtinId="9" hidden="1"/>
    <cellStyle name="Followed Hyperlink" xfId="4965" builtinId="9" hidden="1"/>
    <cellStyle name="Followed Hyperlink" xfId="4901" builtinId="9" hidden="1"/>
    <cellStyle name="Followed Hyperlink" xfId="4837" builtinId="9" hidden="1"/>
    <cellStyle name="Followed Hyperlink" xfId="4702" builtinId="9" hidden="1"/>
    <cellStyle name="Followed Hyperlink" xfId="4638" builtinId="9" hidden="1"/>
    <cellStyle name="Followed Hyperlink" xfId="4574" builtinId="9" hidden="1"/>
    <cellStyle name="Followed Hyperlink" xfId="4453" builtinId="9" hidden="1"/>
    <cellStyle name="Followed Hyperlink" xfId="4389" builtinId="9" hidden="1"/>
    <cellStyle name="Followed Hyperlink" xfId="4325" builtinId="9" hidden="1"/>
    <cellStyle name="Followed Hyperlink" xfId="4197" builtinId="9" hidden="1"/>
    <cellStyle name="Followed Hyperlink" xfId="4136" builtinId="9" hidden="1"/>
    <cellStyle name="Followed Hyperlink" xfId="4072" builtinId="9" hidden="1"/>
    <cellStyle name="Followed Hyperlink" xfId="3943" builtinId="9" hidden="1"/>
    <cellStyle name="Followed Hyperlink" xfId="3879" builtinId="9" hidden="1"/>
    <cellStyle name="Followed Hyperlink" xfId="3811" builtinId="9" hidden="1"/>
    <cellStyle name="Followed Hyperlink" xfId="3683" builtinId="9" hidden="1"/>
    <cellStyle name="Followed Hyperlink" xfId="3619" builtinId="9" hidden="1"/>
    <cellStyle name="Followed Hyperlink" xfId="3554" builtinId="9" hidden="1"/>
    <cellStyle name="Followed Hyperlink" xfId="3426" builtinId="9" hidden="1"/>
    <cellStyle name="Followed Hyperlink" xfId="3362" builtinId="9" hidden="1"/>
    <cellStyle name="Followed Hyperlink" xfId="3298" builtinId="9" hidden="1"/>
    <cellStyle name="Followed Hyperlink" xfId="3173" builtinId="9" hidden="1"/>
    <cellStyle name="Followed Hyperlink" xfId="3109" builtinId="9" hidden="1"/>
    <cellStyle name="Followed Hyperlink" xfId="3044" builtinId="9" hidden="1"/>
    <cellStyle name="Followed Hyperlink" xfId="2910" builtinId="9" hidden="1"/>
    <cellStyle name="Followed Hyperlink" xfId="2846" builtinId="9" hidden="1"/>
    <cellStyle name="Followed Hyperlink" xfId="2782" builtinId="9" hidden="1"/>
    <cellStyle name="Followed Hyperlink" xfId="2652" builtinId="9" hidden="1"/>
    <cellStyle name="Followed Hyperlink" xfId="2588" builtinId="9" hidden="1"/>
    <cellStyle name="Followed Hyperlink" xfId="2524" builtinId="9" hidden="1"/>
    <cellStyle name="Followed Hyperlink" xfId="2396" builtinId="9" hidden="1"/>
    <cellStyle name="Followed Hyperlink" xfId="2335" builtinId="9" hidden="1"/>
    <cellStyle name="Followed Hyperlink" xfId="2271" builtinId="9" hidden="1"/>
    <cellStyle name="Followed Hyperlink" xfId="2142" builtinId="9" hidden="1"/>
    <cellStyle name="Followed Hyperlink" xfId="2075" builtinId="9" hidden="1"/>
    <cellStyle name="Followed Hyperlink" xfId="2011" builtinId="9" hidden="1"/>
    <cellStyle name="Followed Hyperlink" xfId="1883" builtinId="9" hidden="1"/>
    <cellStyle name="Followed Hyperlink" xfId="1819" builtinId="9" hidden="1"/>
    <cellStyle name="Followed Hyperlink" xfId="1055" builtinId="9" hidden="1"/>
    <cellStyle name="Followed Hyperlink" xfId="1139" builtinId="9" hidden="1"/>
    <cellStyle name="Followed Hyperlink" xfId="1183" builtinId="9" hidden="1"/>
    <cellStyle name="Followed Hyperlink" xfId="1227" builtinId="9" hidden="1"/>
    <cellStyle name="Followed Hyperlink" xfId="1316" builtinId="9" hidden="1"/>
    <cellStyle name="Followed Hyperlink" xfId="1356" builtinId="9" hidden="1"/>
    <cellStyle name="Followed Hyperlink" xfId="1400" builtinId="9" hidden="1"/>
    <cellStyle name="Followed Hyperlink" xfId="1484" builtinId="9" hidden="1"/>
    <cellStyle name="Followed Hyperlink" xfId="1525" builtinId="9" hidden="1"/>
    <cellStyle name="Followed Hyperlink" xfId="1569" builtinId="9" hidden="1"/>
    <cellStyle name="Followed Hyperlink" xfId="1653" builtinId="9" hidden="1"/>
    <cellStyle name="Followed Hyperlink" xfId="1697" builtinId="9" hidden="1"/>
    <cellStyle name="Followed Hyperlink" xfId="1737" builtinId="9" hidden="1"/>
    <cellStyle name="Followed Hyperlink" xfId="1803" builtinId="9" hidden="1"/>
    <cellStyle name="Followed Hyperlink" xfId="1677" builtinId="9" hidden="1"/>
    <cellStyle name="Followed Hyperlink" xfId="1549" builtinId="9" hidden="1"/>
    <cellStyle name="Followed Hyperlink" xfId="1296" builtinId="9" hidden="1"/>
    <cellStyle name="Followed Hyperlink" xfId="1163" builtinId="9" hidden="1"/>
    <cellStyle name="Followed Hyperlink" xfId="1035" builtinId="9" hidden="1"/>
    <cellStyle name="Followed Hyperlink" xfId="847" builtinId="9" hidden="1"/>
    <cellStyle name="Followed Hyperlink" xfId="883" builtinId="9" hidden="1"/>
    <cellStyle name="Followed Hyperlink" xfId="922" builtinId="9" hidden="1"/>
    <cellStyle name="Followed Hyperlink" xfId="995" builtinId="9" hidden="1"/>
    <cellStyle name="Followed Hyperlink" xfId="871" builtinId="9" hidden="1"/>
    <cellStyle name="Followed Hyperlink" xfId="711" builtinId="9" hidden="1"/>
    <cellStyle name="Followed Hyperlink" xfId="779" builtinId="9" hidden="1"/>
    <cellStyle name="Followed Hyperlink" xfId="671" builtinId="9" hidden="1"/>
    <cellStyle name="Followed Hyperlink" xfId="639" builtinId="9" hidden="1"/>
    <cellStyle name="Followed Hyperlink" xfId="687" builtinId="9" hidden="1"/>
    <cellStyle name="Followed Hyperlink" xfId="651" builtinId="9" hidden="1"/>
    <cellStyle name="Followed Hyperlink" xfId="759" builtinId="9" hidden="1"/>
    <cellStyle name="Followed Hyperlink" xfId="691" builtinId="9" hidden="1"/>
    <cellStyle name="Followed Hyperlink" xfId="1011" builtinId="9" hidden="1"/>
    <cellStyle name="Followed Hyperlink" xfId="975" builtinId="9" hidden="1"/>
    <cellStyle name="Followed Hyperlink" xfId="898" builtinId="9" hidden="1"/>
    <cellStyle name="Followed Hyperlink" xfId="859" builtinId="9" hidden="1"/>
    <cellStyle name="Followed Hyperlink" xfId="823" builtinId="9" hidden="1"/>
    <cellStyle name="Followed Hyperlink" xfId="1115" builtinId="9" hidden="1"/>
    <cellStyle name="Followed Hyperlink" xfId="1247" builtinId="9" hidden="1"/>
    <cellStyle name="Followed Hyperlink" xfId="1376" builtinId="9" hidden="1"/>
    <cellStyle name="Followed Hyperlink" xfId="1629" builtinId="9" hidden="1"/>
    <cellStyle name="Followed Hyperlink" xfId="1757" builtinId="9" hidden="1"/>
    <cellStyle name="Followed Hyperlink" xfId="1795" builtinId="9" hidden="1"/>
    <cellStyle name="Followed Hyperlink" xfId="1713" builtinId="9" hidden="1"/>
    <cellStyle name="Followed Hyperlink" xfId="1669" builtinId="9" hidden="1"/>
    <cellStyle name="Followed Hyperlink" xfId="1625" builtinId="9" hidden="1"/>
    <cellStyle name="Followed Hyperlink" xfId="1541" builtinId="9" hidden="1"/>
    <cellStyle name="Followed Hyperlink" xfId="1497" builtinId="9" hidden="1"/>
    <cellStyle name="Followed Hyperlink" xfId="1460" builtinId="9" hidden="1"/>
    <cellStyle name="Followed Hyperlink" xfId="1372" builtinId="9" hidden="1"/>
    <cellStyle name="Followed Hyperlink" xfId="1332" builtinId="9" hidden="1"/>
    <cellStyle name="Followed Hyperlink" xfId="1288" builtinId="9" hidden="1"/>
    <cellStyle name="Followed Hyperlink" xfId="1203" builtinId="9" hidden="1"/>
    <cellStyle name="Followed Hyperlink" xfId="1155" builtinId="9" hidden="1"/>
    <cellStyle name="Followed Hyperlink" xfId="1111" builtinId="9" hidden="1"/>
    <cellStyle name="Followed Hyperlink" xfId="1027" builtinId="9" hidden="1"/>
    <cellStyle name="Followed Hyperlink" xfId="1859" builtinId="9" hidden="1"/>
    <cellStyle name="Followed Hyperlink" xfId="1923" builtinId="9" hidden="1"/>
    <cellStyle name="Followed Hyperlink" xfId="2051" builtinId="9" hidden="1"/>
    <cellStyle name="Followed Hyperlink" xfId="2118" builtinId="9" hidden="1"/>
    <cellStyle name="Followed Hyperlink" xfId="2183" builtinId="9" hidden="1"/>
    <cellStyle name="Followed Hyperlink" xfId="2311" builtinId="9" hidden="1"/>
    <cellStyle name="Followed Hyperlink" xfId="2375" builtinId="9" hidden="1"/>
    <cellStyle name="Followed Hyperlink" xfId="2436" builtinId="9" hidden="1"/>
    <cellStyle name="Followed Hyperlink" xfId="2564" builtinId="9" hidden="1"/>
    <cellStyle name="Followed Hyperlink" xfId="2628" builtinId="9" hidden="1"/>
    <cellStyle name="Followed Hyperlink" xfId="2692" builtinId="9" hidden="1"/>
    <cellStyle name="Followed Hyperlink" xfId="2822" builtinId="9" hidden="1"/>
    <cellStyle name="Followed Hyperlink" xfId="2886" builtinId="9" hidden="1"/>
    <cellStyle name="Followed Hyperlink" xfId="2950" builtinId="9" hidden="1"/>
    <cellStyle name="Followed Hyperlink" xfId="3085" builtinId="9" hidden="1"/>
    <cellStyle name="Followed Hyperlink" xfId="3149" builtinId="9" hidden="1"/>
    <cellStyle name="Followed Hyperlink" xfId="3213" builtinId="9" hidden="1"/>
    <cellStyle name="Followed Hyperlink" xfId="3338" builtinId="9" hidden="1"/>
    <cellStyle name="Followed Hyperlink" xfId="3402" builtinId="9" hidden="1"/>
    <cellStyle name="Followed Hyperlink" xfId="3466" builtinId="9" hidden="1"/>
    <cellStyle name="Followed Hyperlink" xfId="3595" builtinId="9" hidden="1"/>
    <cellStyle name="Followed Hyperlink" xfId="3659" builtinId="9" hidden="1"/>
    <cellStyle name="Followed Hyperlink" xfId="3723" builtinId="9" hidden="1"/>
    <cellStyle name="Followed Hyperlink" xfId="3851" builtinId="9" hidden="1"/>
    <cellStyle name="Followed Hyperlink" xfId="3787" builtinId="9" hidden="1"/>
    <cellStyle name="Followed Hyperlink" xfId="3530" builtinId="9" hidden="1"/>
    <cellStyle name="Followed Hyperlink" xfId="3053" builtinId="9" hidden="1"/>
    <cellStyle name="Followed Hyperlink" xfId="3020" builtinId="9" hidden="1"/>
    <cellStyle name="Followed Hyperlink" xfId="2758" builtinId="9" hidden="1"/>
    <cellStyle name="Followed Hyperlink" xfId="2500" builtinId="9" hidden="1"/>
    <cellStyle name="Followed Hyperlink" xfId="2247" builtinId="9" hidden="1"/>
    <cellStyle name="Followed Hyperlink" xfId="1987" builtinId="9" hidden="1"/>
    <cellStyle name="Followed Hyperlink" xfId="1071" builtinId="9" hidden="1"/>
    <cellStyle name="Followed Hyperlink" xfId="1243" builtinId="9" hidden="1"/>
    <cellStyle name="Followed Hyperlink" xfId="1416" builtinId="9" hidden="1"/>
    <cellStyle name="Followed Hyperlink" xfId="1585" builtinId="9" hidden="1"/>
    <cellStyle name="Followed Hyperlink" xfId="1753" builtinId="9" hidden="1"/>
    <cellStyle name="Followed Hyperlink" xfId="1501" builtinId="9" hidden="1"/>
    <cellStyle name="Followed Hyperlink" xfId="787" builtinId="9" hidden="1"/>
    <cellStyle name="Followed Hyperlink" xfId="934" builtinId="9" hidden="1"/>
    <cellStyle name="Followed Hyperlink" xfId="723" builtinId="9" hidden="1"/>
    <cellStyle name="Followed Hyperlink" xfId="623" builtinId="9" hidden="1"/>
    <cellStyle name="Followed Hyperlink" xfId="747" builtinId="9" hidden="1"/>
    <cellStyle name="Followed Hyperlink" xfId="958" builtinId="9" hidden="1"/>
    <cellStyle name="Followed Hyperlink" xfId="811" builtinId="9" hidden="1"/>
    <cellStyle name="Followed Hyperlink" xfId="1424" builtinId="9" hidden="1"/>
    <cellStyle name="Followed Hyperlink" xfId="1781" builtinId="9" hidden="1"/>
    <cellStyle name="Followed Hyperlink" xfId="1609" builtinId="9" hidden="1"/>
    <cellStyle name="Followed Hyperlink" xfId="1444" builtinId="9" hidden="1"/>
    <cellStyle name="Followed Hyperlink" xfId="1271" builtinId="9" hidden="1"/>
    <cellStyle name="Followed Hyperlink" xfId="1095" builtinId="9" hidden="1"/>
    <cellStyle name="Followed Hyperlink" xfId="1947" builtinId="9" hidden="1"/>
    <cellStyle name="Followed Hyperlink" xfId="2207" builtinId="9" hidden="1"/>
    <cellStyle name="Followed Hyperlink" xfId="2460" builtinId="9" hidden="1"/>
    <cellStyle name="Followed Hyperlink" xfId="2716" builtinId="9" hidden="1"/>
    <cellStyle name="Followed Hyperlink" xfId="2980" builtinId="9" hidden="1"/>
    <cellStyle name="Followed Hyperlink" xfId="3237" builtinId="9" hidden="1"/>
    <cellStyle name="Followed Hyperlink" xfId="3490" builtinId="9" hidden="1"/>
    <cellStyle name="Followed Hyperlink" xfId="3747" builtinId="9" hidden="1"/>
    <cellStyle name="Followed Hyperlink" xfId="4008" builtinId="9" hidden="1"/>
    <cellStyle name="Followed Hyperlink" xfId="4261" builtinId="9" hidden="1"/>
    <cellStyle name="Followed Hyperlink" xfId="4508" builtinId="9" hidden="1"/>
    <cellStyle name="Followed Hyperlink" xfId="4772" builtinId="9" hidden="1"/>
    <cellStyle name="Followed Hyperlink" xfId="5029" builtinId="9" hidden="1"/>
    <cellStyle name="Followed Hyperlink" xfId="5282" builtinId="9" hidden="1"/>
    <cellStyle name="Followed Hyperlink" xfId="5540" builtinId="9" hidden="1"/>
    <cellStyle name="Followed Hyperlink" xfId="5800" builtinId="9" hidden="1"/>
    <cellStyle name="Followed Hyperlink" xfId="6053" builtinId="9" hidden="1"/>
    <cellStyle name="Followed Hyperlink" xfId="6299" builtinId="9" hidden="1"/>
    <cellStyle name="Followed Hyperlink" xfId="6557" builtinId="9" hidden="1"/>
    <cellStyle name="Followed Hyperlink" xfId="6814" builtinId="9" hidden="1"/>
    <cellStyle name="Followed Hyperlink" xfId="7067" builtinId="9" hidden="1"/>
    <cellStyle name="Followed Hyperlink" xfId="7323" builtinId="9" hidden="1"/>
    <cellStyle name="Followed Hyperlink" xfId="7582" builtinId="9" hidden="1"/>
    <cellStyle name="Followed Hyperlink" xfId="7835" builtinId="9" hidden="1"/>
    <cellStyle name="Followed Hyperlink" xfId="4403" builtinId="9" hidden="1"/>
    <cellStyle name="Followed Hyperlink" xfId="2974" builtinId="9" hidden="1"/>
    <cellStyle name="Followed Hyperlink" xfId="4522" builtinId="9" hidden="1"/>
    <cellStyle name="Followed Hyperlink" xfId="4652" builtinId="9" hidden="1"/>
    <cellStyle name="Followed Hyperlink" xfId="4716" builtinId="9" hidden="1"/>
    <cellStyle name="Followed Hyperlink" xfId="4786" builtinId="9" hidden="1"/>
    <cellStyle name="Followed Hyperlink" xfId="4851" builtinId="9" hidden="1"/>
    <cellStyle name="Followed Hyperlink" xfId="4915" builtinId="9" hidden="1"/>
    <cellStyle name="Followed Hyperlink" xfId="4979" builtinId="9" hidden="1"/>
    <cellStyle name="Followed Hyperlink" xfId="5043" builtinId="9" hidden="1"/>
    <cellStyle name="Followed Hyperlink" xfId="5168" builtinId="9" hidden="1"/>
    <cellStyle name="Followed Hyperlink" xfId="5232" builtinId="9" hidden="1"/>
    <cellStyle name="Followed Hyperlink" xfId="5296" builtinId="9" hidden="1"/>
    <cellStyle name="Followed Hyperlink" xfId="5362" builtinId="9" hidden="1"/>
    <cellStyle name="Followed Hyperlink" xfId="5426" builtinId="9" hidden="1"/>
    <cellStyle name="Followed Hyperlink" xfId="5490" builtinId="9" hidden="1"/>
    <cellStyle name="Followed Hyperlink" xfId="5554" builtinId="9" hidden="1"/>
    <cellStyle name="Followed Hyperlink" xfId="5685" builtinId="9" hidden="1"/>
    <cellStyle name="Followed Hyperlink" xfId="5750" builtinId="9" hidden="1"/>
    <cellStyle name="Followed Hyperlink" xfId="5814" builtinId="9" hidden="1"/>
    <cellStyle name="Followed Hyperlink" xfId="5878" builtinId="9" hidden="1"/>
    <cellStyle name="Followed Hyperlink" xfId="5942" builtinId="9" hidden="1"/>
    <cellStyle name="Followed Hyperlink" xfId="6003" builtinId="9" hidden="1"/>
    <cellStyle name="Followed Hyperlink" xfId="6067" builtinId="9" hidden="1"/>
    <cellStyle name="Followed Hyperlink" xfId="6195" builtinId="9" hidden="1"/>
    <cellStyle name="Followed Hyperlink" xfId="6249" builtinId="9" hidden="1"/>
    <cellStyle name="Followed Hyperlink" xfId="6313" builtinId="9" hidden="1"/>
    <cellStyle name="Followed Hyperlink" xfId="6377" builtinId="9" hidden="1"/>
    <cellStyle name="Followed Hyperlink" xfId="6441" builtinId="9" hidden="1"/>
    <cellStyle name="Followed Hyperlink" xfId="6505" builtinId="9" hidden="1"/>
    <cellStyle name="Followed Hyperlink" xfId="6571" builtinId="9" hidden="1"/>
    <cellStyle name="Followed Hyperlink" xfId="6700" builtinId="9" hidden="1"/>
    <cellStyle name="Followed Hyperlink" xfId="6764" builtinId="9" hidden="1"/>
    <cellStyle name="Followed Hyperlink" xfId="6825" builtinId="9" hidden="1"/>
    <cellStyle name="Followed Hyperlink" xfId="6889" builtinId="9" hidden="1"/>
    <cellStyle name="Followed Hyperlink" xfId="6953" builtinId="9" hidden="1"/>
    <cellStyle name="Followed Hyperlink" xfId="7017" builtinId="9" hidden="1"/>
    <cellStyle name="Followed Hyperlink" xfId="7081" builtinId="9" hidden="1"/>
    <cellStyle name="Followed Hyperlink" xfId="7209" builtinId="9" hidden="1"/>
    <cellStyle name="Followed Hyperlink" xfId="7273" builtinId="9" hidden="1"/>
    <cellStyle name="Followed Hyperlink" xfId="7337" builtinId="9" hidden="1"/>
    <cellStyle name="Followed Hyperlink" xfId="7401" builtinId="9" hidden="1"/>
    <cellStyle name="Followed Hyperlink" xfId="7467" builtinId="9" hidden="1"/>
    <cellStyle name="Followed Hyperlink" xfId="7532" builtinId="9" hidden="1"/>
    <cellStyle name="Followed Hyperlink" xfId="7596" builtinId="9" hidden="1"/>
    <cellStyle name="Followed Hyperlink" xfId="7721" builtinId="9" hidden="1"/>
    <cellStyle name="Followed Hyperlink" xfId="7785" builtinId="9" hidden="1"/>
    <cellStyle name="Followed Hyperlink" xfId="7849" builtinId="9" hidden="1"/>
    <cellStyle name="Followed Hyperlink" xfId="7913" builtinId="9" hidden="1"/>
    <cellStyle name="Followed Hyperlink" xfId="7977" builtinId="9" hidden="1"/>
    <cellStyle name="Followed Hyperlink" xfId="7963" builtinId="9" hidden="1"/>
    <cellStyle name="Followed Hyperlink" xfId="7660" builtinId="9" hidden="1"/>
    <cellStyle name="Followed Hyperlink" xfId="7145" builtinId="9" hidden="1"/>
    <cellStyle name="Followed Hyperlink" xfId="6636" builtinId="9" hidden="1"/>
    <cellStyle name="Followed Hyperlink" xfId="6131" builtinId="9" hidden="1"/>
    <cellStyle name="Followed Hyperlink" xfId="5618" builtinId="9" hidden="1"/>
    <cellStyle name="Followed Hyperlink" xfId="5104" builtinId="9" hidden="1"/>
    <cellStyle name="Followed Hyperlink" xfId="4588" builtinId="9" hidden="1"/>
    <cellStyle name="Followed Hyperlink" xfId="2924" builtinId="9" hidden="1"/>
    <cellStyle name="Followed Hyperlink" xfId="2994" builtinId="9" hidden="1"/>
    <cellStyle name="Followed Hyperlink" xfId="3059" builtinId="9" hidden="1"/>
    <cellStyle name="Followed Hyperlink" xfId="3123" builtinId="9" hidden="1"/>
    <cellStyle name="Followed Hyperlink" xfId="3187" builtinId="9" hidden="1"/>
    <cellStyle name="Followed Hyperlink" xfId="3251" builtinId="9" hidden="1"/>
    <cellStyle name="Followed Hyperlink" xfId="3312" builtinId="9" hidden="1"/>
    <cellStyle name="Followed Hyperlink" xfId="3376" builtinId="9" hidden="1"/>
    <cellStyle name="Followed Hyperlink" xfId="3440" builtinId="9" hidden="1"/>
    <cellStyle name="Followed Hyperlink" xfId="3504" builtinId="9" hidden="1"/>
    <cellStyle name="Followed Hyperlink" xfId="3633" builtinId="9" hidden="1"/>
    <cellStyle name="Followed Hyperlink" xfId="3697" builtinId="9" hidden="1"/>
    <cellStyle name="Followed Hyperlink" xfId="3761" builtinId="9" hidden="1"/>
    <cellStyle name="Followed Hyperlink" xfId="3825" builtinId="9" hidden="1"/>
    <cellStyle name="Followed Hyperlink" xfId="3893" builtinId="9" hidden="1"/>
    <cellStyle name="Followed Hyperlink" xfId="3958" builtinId="9" hidden="1"/>
    <cellStyle name="Followed Hyperlink" xfId="4022" builtinId="9" hidden="1"/>
    <cellStyle name="Followed Hyperlink" xfId="4086" builtinId="9" hidden="1"/>
    <cellStyle name="Followed Hyperlink" xfId="4150" builtinId="9" hidden="1"/>
    <cellStyle name="Followed Hyperlink" xfId="4211" builtinId="9" hidden="1"/>
    <cellStyle name="Followed Hyperlink" xfId="4275" builtinId="9" hidden="1"/>
    <cellStyle name="Followed Hyperlink" xfId="4339" builtinId="9" hidden="1"/>
    <cellStyle name="Followed Hyperlink" xfId="3568" builtinId="9" hidden="1"/>
    <cellStyle name="Followed Hyperlink" xfId="2221" builtinId="9" hidden="1"/>
    <cellStyle name="Followed Hyperlink" xfId="2285" builtinId="9" hidden="1"/>
    <cellStyle name="Followed Hyperlink" xfId="2349" builtinId="9" hidden="1"/>
    <cellStyle name="Followed Hyperlink" xfId="2410" builtinId="9" hidden="1"/>
    <cellStyle name="Followed Hyperlink" xfId="2474" builtinId="9" hidden="1"/>
    <cellStyle name="Followed Hyperlink" xfId="2602" builtinId="9" hidden="1"/>
    <cellStyle name="Followed Hyperlink" xfId="2666" builtinId="9" hidden="1"/>
    <cellStyle name="Followed Hyperlink" xfId="2730" builtinId="9" hidden="1"/>
    <cellStyle name="Followed Hyperlink" xfId="2796" builtinId="9" hidden="1"/>
    <cellStyle name="Followed Hyperlink" xfId="2860" builtinId="9" hidden="1"/>
    <cellStyle name="Followed Hyperlink" xfId="2538" builtinId="9" hidden="1"/>
    <cellStyle name="Followed Hyperlink" xfId="1897" builtinId="9" hidden="1"/>
    <cellStyle name="Followed Hyperlink" xfId="1961" builtinId="9" hidden="1"/>
    <cellStyle name="Followed Hyperlink" xfId="2025" builtinId="9" hidden="1"/>
    <cellStyle name="Followed Hyperlink" xfId="2092" builtinId="9" hidden="1"/>
    <cellStyle name="Followed Hyperlink" xfId="2156" builtinId="9" hidden="1"/>
    <cellStyle name="Followed Hyperlink" xfId="1771" builtinId="9" hidden="1"/>
    <cellStyle name="Followed Hyperlink" xfId="1833" builtinId="9" hidden="1"/>
    <cellStyle name="Followed Hyperlink" xfId="1707" builtinId="9" hidden="1"/>
    <cellStyle name="Followed Hyperlink" xfId="1643" builtinId="9" hidden="1"/>
    <cellStyle name="Good 2" xfId="8194" xr:uid="{00000000-0005-0000-0000-0000AB100000}"/>
    <cellStyle name="Good 2 2" xfId="8195" xr:uid="{00000000-0005-0000-0000-0000AC100000}"/>
    <cellStyle name="Good 2 2 2" xfId="8196" xr:uid="{00000000-0005-0000-0000-0000AD100000}"/>
    <cellStyle name="Good 2 2 3" xfId="8197" xr:uid="{00000000-0005-0000-0000-0000AE100000}"/>
    <cellStyle name="Good 3" xfId="8198" xr:uid="{00000000-0005-0000-0000-0000AF100000}"/>
    <cellStyle name="Heading" xfId="8199" xr:uid="{00000000-0005-0000-0000-0000B0100000}"/>
    <cellStyle name="Heading 1 2" xfId="8200" xr:uid="{00000000-0005-0000-0000-0000B1100000}"/>
    <cellStyle name="Heading 1 3" xfId="8201" xr:uid="{00000000-0005-0000-0000-0000B2100000}"/>
    <cellStyle name="Heading 2 2" xfId="8202" xr:uid="{00000000-0005-0000-0000-0000B3100000}"/>
    <cellStyle name="Heading 2 3" xfId="8203" xr:uid="{00000000-0005-0000-0000-0000B4100000}"/>
    <cellStyle name="Heading 3 2" xfId="8204" xr:uid="{00000000-0005-0000-0000-0000B5100000}"/>
    <cellStyle name="Heading 3 3" xfId="8205" xr:uid="{00000000-0005-0000-0000-0000B6100000}"/>
    <cellStyle name="Heading 4 2" xfId="8206" xr:uid="{00000000-0005-0000-0000-0000B7100000}"/>
    <cellStyle name="Heading 4 3" xfId="8207" xr:uid="{00000000-0005-0000-0000-0000B8100000}"/>
    <cellStyle name="Hyperlink" xfId="7712" builtinId="8" hidden="1"/>
    <cellStyle name="Hyperlink" xfId="7818" builtinId="8" hidden="1"/>
    <cellStyle name="Hyperlink" xfId="7527" builtinId="8" hidden="1"/>
    <cellStyle name="Hyperlink" xfId="7172" builtinId="8" hidden="1"/>
    <cellStyle name="Hyperlink" xfId="6500" builtinId="8" hidden="1"/>
    <cellStyle name="Hyperlink" xfId="5809" builtinId="8" hidden="1"/>
    <cellStyle name="Hyperlink" xfId="5131" builtinId="8" hidden="1"/>
    <cellStyle name="Hyperlink" xfId="4781" builtinId="8" hidden="1"/>
    <cellStyle name="Hyperlink" xfId="3756" builtinId="8" hidden="1"/>
    <cellStyle name="Hyperlink" xfId="3435" builtinId="8" hidden="1"/>
    <cellStyle name="Hyperlink" xfId="3086" builtinId="8" hidden="1"/>
    <cellStyle name="Hyperlink" xfId="161" builtinId="8" hidden="1"/>
    <cellStyle name="Hyperlink" xfId="165" builtinId="8" hidden="1"/>
    <cellStyle name="Hyperlink" xfId="175" builtinId="8" hidden="1"/>
    <cellStyle name="Hyperlink" xfId="183" builtinId="8" hidden="1"/>
    <cellStyle name="Hyperlink" xfId="189" builtinId="8" hidden="1"/>
    <cellStyle name="Hyperlink" xfId="193" builtinId="8" hidden="1"/>
    <cellStyle name="Hyperlink" xfId="207" builtinId="8" hidden="1"/>
    <cellStyle name="Hyperlink" xfId="209" builtinId="8" hidden="1"/>
    <cellStyle name="Hyperlink" xfId="211" builtinId="8" hidden="1"/>
    <cellStyle name="Hyperlink" xfId="223" builtinId="8" hidden="1"/>
    <cellStyle name="Hyperlink" xfId="231" builtinId="8" hidden="1"/>
    <cellStyle name="Hyperlink" xfId="239" builtinId="8" hidden="1"/>
    <cellStyle name="Hyperlink" xfId="243" builtinId="8" hidden="1"/>
    <cellStyle name="Hyperlink" xfId="251" builtinId="8" hidden="1"/>
    <cellStyle name="Hyperlink" xfId="255" builtinId="8" hidden="1"/>
    <cellStyle name="Hyperlink" xfId="265" builtinId="8" hidden="1"/>
    <cellStyle name="Hyperlink" xfId="271" builtinId="8" hidden="1"/>
    <cellStyle name="Hyperlink" xfId="273" builtinId="8" hidden="1"/>
    <cellStyle name="Hyperlink" xfId="73" builtinId="8" hidden="1"/>
    <cellStyle name="Hyperlink" xfId="79" builtinId="8" hidden="1"/>
    <cellStyle name="Hyperlink" xfId="85" builtinId="8" hidden="1"/>
    <cellStyle name="Hyperlink" xfId="93" builtinId="8" hidden="1"/>
    <cellStyle name="Hyperlink" xfId="101" builtinId="8" hidden="1"/>
    <cellStyle name="Hyperlink" xfId="103" builtinId="8" hidden="1"/>
    <cellStyle name="Hyperlink" xfId="115" builtinId="8" hidden="1"/>
    <cellStyle name="Hyperlink" xfId="117" builtinId="8" hidden="1"/>
    <cellStyle name="Hyperlink" xfId="123" builtinId="8" hidden="1"/>
    <cellStyle name="Hyperlink" xfId="135" builtinId="8" hidden="1"/>
    <cellStyle name="Hyperlink" xfId="67" builtinId="8" hidden="1"/>
    <cellStyle name="Hyperlink" xfId="39" builtinId="8" hidden="1"/>
    <cellStyle name="Hyperlink" xfId="47" builtinId="8" hidden="1"/>
    <cellStyle name="Hyperlink" xfId="51" builtinId="8" hidden="1"/>
    <cellStyle name="Hyperlink" xfId="57" builtinId="8" hidden="1"/>
    <cellStyle name="Hyperlink" xfId="17" builtinId="8" hidden="1"/>
    <cellStyle name="Hyperlink" xfId="21" builtinId="8" hidden="1"/>
    <cellStyle name="Hyperlink" xfId="23" builtinId="8" hidden="1"/>
    <cellStyle name="Hyperlink" xfId="15" builtinId="8" hidden="1"/>
    <cellStyle name="Hyperlink" xfId="5" builtinId="8" hidden="1"/>
    <cellStyle name="Hyperlink" xfId="7" builtinId="8" hidden="1"/>
    <cellStyle name="Hyperlink" xfId="27" builtinId="8" hidden="1"/>
    <cellStyle name="Hyperlink" xfId="53" builtinId="8" hidden="1"/>
    <cellStyle name="Hyperlink" xfId="45" builtinId="8" hidden="1"/>
    <cellStyle name="Hyperlink" xfId="121" builtinId="8" hidden="1"/>
    <cellStyle name="Hyperlink" xfId="105" builtinId="8" hidden="1"/>
    <cellStyle name="Hyperlink" xfId="89" builtinId="8" hidden="1"/>
    <cellStyle name="Hyperlink" xfId="269" builtinId="8" hidden="1"/>
    <cellStyle name="Hyperlink" xfId="253" builtinId="8" hidden="1"/>
    <cellStyle name="Hyperlink" xfId="237" builtinId="8" hidden="1"/>
    <cellStyle name="Hyperlink" xfId="213" builtinId="8" hidden="1"/>
    <cellStyle name="Hyperlink" xfId="187" builtinId="8" hidden="1"/>
    <cellStyle name="Hyperlink" xfId="179" builtinId="8" hidden="1"/>
    <cellStyle name="Hyperlink" xfId="147" builtinId="8" hidden="1"/>
    <cellStyle name="Hyperlink" xfId="575" builtinId="8" hidden="1"/>
    <cellStyle name="Hyperlink" xfId="567" builtinId="8" hidden="1"/>
    <cellStyle name="Hyperlink" xfId="535" builtinId="8" hidden="1"/>
    <cellStyle name="Hyperlink" xfId="527" builtinId="8" hidden="1"/>
    <cellStyle name="Hyperlink" xfId="501" builtinId="8" hidden="1"/>
    <cellStyle name="Hyperlink" xfId="477" builtinId="8" hidden="1"/>
    <cellStyle name="Hyperlink" xfId="461" builtinId="8" hidden="1"/>
    <cellStyle name="Hyperlink" xfId="443" builtinId="8" hidden="1"/>
    <cellStyle name="Hyperlink" xfId="403" builtinId="8" hidden="1"/>
    <cellStyle name="Hyperlink" xfId="393" builtinId="8" hidden="1"/>
    <cellStyle name="Hyperlink" xfId="376" builtinId="8" hidden="1"/>
    <cellStyle name="Hyperlink" xfId="344" builtinId="8" hidden="1"/>
    <cellStyle name="Hyperlink" xfId="336" builtinId="8" hidden="1"/>
    <cellStyle name="Hyperlink" xfId="310" builtinId="8" hidden="1"/>
    <cellStyle name="Hyperlink" xfId="289" builtinId="8" hidden="1"/>
    <cellStyle name="Hyperlink" xfId="808" builtinId="8" hidden="1"/>
    <cellStyle name="Hyperlink" xfId="939" builtinId="8" hidden="1"/>
    <cellStyle name="Hyperlink" xfId="1214" builtinId="8" hidden="1"/>
    <cellStyle name="Hyperlink" xfId="1206" builtinId="8" hidden="1"/>
    <cellStyle name="Hyperlink" xfId="1192" builtinId="8" hidden="1"/>
    <cellStyle name="Hyperlink" xfId="1158" builtinId="8" hidden="1"/>
    <cellStyle name="Hyperlink" xfId="1142" builtinId="8" hidden="1"/>
    <cellStyle name="Hyperlink" xfId="1124" builtinId="8" hidden="1"/>
    <cellStyle name="Hyperlink" xfId="1098" builtinId="8" hidden="1"/>
    <cellStyle name="Hyperlink" xfId="1074" builtinId="8" hidden="1"/>
    <cellStyle name="Hyperlink" xfId="1064" builtinId="8" hidden="1"/>
    <cellStyle name="Hyperlink" xfId="1022" builtinId="8" hidden="1"/>
    <cellStyle name="Hyperlink" xfId="1006" builtinId="8" hidden="1"/>
    <cellStyle name="Hyperlink" xfId="996" builtinId="8" hidden="1"/>
    <cellStyle name="Hyperlink" xfId="961" builtinId="8" hidden="1"/>
    <cellStyle name="Hyperlink" xfId="953" builtinId="8" hidden="1"/>
    <cellStyle name="Hyperlink" xfId="927" builtinId="8" hidden="1"/>
    <cellStyle name="Hyperlink" xfId="901" builtinId="8" hidden="1"/>
    <cellStyle name="Hyperlink" xfId="882" builtinId="8" hidden="1"/>
    <cellStyle name="Hyperlink" xfId="856" builtinId="8" hidden="1"/>
    <cellStyle name="Hyperlink" xfId="822" builtinId="8" hidden="1"/>
    <cellStyle name="Hyperlink" xfId="814" builtinId="8" hidden="1"/>
    <cellStyle name="Hyperlink" xfId="796" builtinId="8" hidden="1"/>
    <cellStyle name="Hyperlink" xfId="762" builtinId="8" hidden="1"/>
    <cellStyle name="Hyperlink" xfId="754" builtinId="8" hidden="1"/>
    <cellStyle name="Hyperlink" xfId="728" builtinId="8" hidden="1"/>
    <cellStyle name="Hyperlink" xfId="710" builtinId="8" hidden="1"/>
    <cellStyle name="Hyperlink" xfId="676" builtinId="8" hidden="1"/>
    <cellStyle name="Hyperlink" xfId="660" builtinId="8" hidden="1"/>
    <cellStyle name="Hyperlink" xfId="626" builtinId="8" hidden="1"/>
    <cellStyle name="Hyperlink" xfId="618" builtinId="8" hidden="1"/>
    <cellStyle name="Hyperlink" xfId="608" builtinId="8" hidden="1"/>
    <cellStyle name="Hyperlink" xfId="1281" builtinId="8" hidden="1"/>
    <cellStyle name="Hyperlink" xfId="1409" builtinId="8" hidden="1"/>
    <cellStyle name="Hyperlink" xfId="1534" builtinId="8" hidden="1"/>
    <cellStyle name="Hyperlink" xfId="1726" builtinId="8" hidden="1"/>
    <cellStyle name="Hyperlink" xfId="1980" builtinId="8" hidden="1"/>
    <cellStyle name="Hyperlink" xfId="2044" builtinId="8" hidden="1"/>
    <cellStyle name="Hyperlink" xfId="2304" builtinId="8" hidden="1"/>
    <cellStyle name="Hyperlink" xfId="2429" builtinId="8" hidden="1"/>
    <cellStyle name="Hyperlink" xfId="2493" builtinId="8" hidden="1"/>
    <cellStyle name="Hyperlink" xfId="2751" builtinId="8" hidden="1"/>
    <cellStyle name="Hyperlink" xfId="2815" builtinId="8" hidden="1"/>
    <cellStyle name="Hyperlink" xfId="2873" builtinId="8" hidden="1"/>
    <cellStyle name="Hyperlink" xfId="2837" builtinId="8" hidden="1"/>
    <cellStyle name="Hyperlink" xfId="2809" builtinId="8" hidden="1"/>
    <cellStyle name="Hyperlink" xfId="2801" builtinId="8" hidden="1"/>
    <cellStyle name="Hyperlink" xfId="2763" builtinId="8" hidden="1"/>
    <cellStyle name="Hyperlink" xfId="2755" builtinId="8" hidden="1"/>
    <cellStyle name="Hyperlink" xfId="2735" builtinId="8" hidden="1"/>
    <cellStyle name="Hyperlink" xfId="2697" builtinId="8" hidden="1"/>
    <cellStyle name="Hyperlink" xfId="2689" builtinId="8" hidden="1"/>
    <cellStyle name="Hyperlink" xfId="2661" builtinId="8" hidden="1"/>
    <cellStyle name="Hyperlink" xfId="2625" builtinId="8" hidden="1"/>
    <cellStyle name="Hyperlink" xfId="2607" builtinId="8" hidden="1"/>
    <cellStyle name="Hyperlink" xfId="2587" builtinId="8" hidden="1"/>
    <cellStyle name="Hyperlink" xfId="2551" builtinId="8" hidden="1"/>
    <cellStyle name="Hyperlink" xfId="2543" builtinId="8" hidden="1"/>
    <cellStyle name="Hyperlink" xfId="2533" builtinId="8" hidden="1"/>
    <cellStyle name="Hyperlink" xfId="2497" builtinId="8" hidden="1"/>
    <cellStyle name="Hyperlink" xfId="2479" builtinId="8" hidden="1"/>
    <cellStyle name="Hyperlink" xfId="2441" builtinId="8" hidden="1"/>
    <cellStyle name="Hyperlink" xfId="2423" builtinId="8" hidden="1"/>
    <cellStyle name="Hyperlink" xfId="2395" builtinId="8" hidden="1"/>
    <cellStyle name="Hyperlink" xfId="2387" builtinId="8" hidden="1"/>
    <cellStyle name="Hyperlink" xfId="2354" builtinId="8" hidden="1"/>
    <cellStyle name="Hyperlink" xfId="2334" builtinId="8" hidden="1"/>
    <cellStyle name="Hyperlink" xfId="2326" builtinId="8" hidden="1"/>
    <cellStyle name="Hyperlink" xfId="2290" builtinId="8" hidden="1"/>
    <cellStyle name="Hyperlink" xfId="2280" builtinId="8" hidden="1"/>
    <cellStyle name="Hyperlink" xfId="2244" builtinId="8" hidden="1"/>
    <cellStyle name="Hyperlink" xfId="2216" builtinId="8" hidden="1"/>
    <cellStyle name="Hyperlink" xfId="2188" builtinId="8" hidden="1"/>
    <cellStyle name="Hyperlink" xfId="2180" builtinId="8" hidden="1"/>
    <cellStyle name="Hyperlink" xfId="2141" builtinId="8" hidden="1"/>
    <cellStyle name="Hyperlink" xfId="2133" builtinId="8" hidden="1"/>
    <cellStyle name="Hyperlink" xfId="2115" builtinId="8" hidden="1"/>
    <cellStyle name="Hyperlink" xfId="2074" builtinId="8" hidden="1"/>
    <cellStyle name="Hyperlink" xfId="2056" builtinId="8" hidden="1"/>
    <cellStyle name="Hyperlink" xfId="2030" builtinId="8" hidden="1"/>
    <cellStyle name="Hyperlink" xfId="2002" builtinId="8" hidden="1"/>
    <cellStyle name="Hyperlink" xfId="1984" builtinId="8" hidden="1"/>
    <cellStyle name="Hyperlink" xfId="1966" builtinId="8" hidden="1"/>
    <cellStyle name="Hyperlink" xfId="1928" builtinId="8" hidden="1"/>
    <cellStyle name="Hyperlink" xfId="1920" builtinId="8" hidden="1"/>
    <cellStyle name="Hyperlink" xfId="1910" builtinId="8" hidden="1"/>
    <cellStyle name="Hyperlink" xfId="1856" builtinId="8" hidden="1"/>
    <cellStyle name="Hyperlink" xfId="1846" builtinId="8" hidden="1"/>
    <cellStyle name="Hyperlink" xfId="1818" builtinId="8" hidden="1"/>
    <cellStyle name="Hyperlink" xfId="1800" builtinId="8" hidden="1"/>
    <cellStyle name="Hyperlink" xfId="1776" builtinId="8" hidden="1"/>
    <cellStyle name="Hyperlink" xfId="1766" builtinId="8" hidden="1"/>
    <cellStyle name="Hyperlink" xfId="1730" builtinId="8" hidden="1"/>
    <cellStyle name="Hyperlink" xfId="1712" builtinId="8" hidden="1"/>
    <cellStyle name="Hyperlink" xfId="1702" builtinId="8" hidden="1"/>
    <cellStyle name="Hyperlink" xfId="1656" builtinId="8" hidden="1"/>
    <cellStyle name="Hyperlink" xfId="1638" builtinId="8" hidden="1"/>
    <cellStyle name="Hyperlink" xfId="1620" builtinId="8" hidden="1"/>
    <cellStyle name="Hyperlink" xfId="1592" builtinId="8" hidden="1"/>
    <cellStyle name="Hyperlink" xfId="1564" builtinId="8" hidden="1"/>
    <cellStyle name="Hyperlink" xfId="1556" builtinId="8" hidden="1"/>
    <cellStyle name="Hyperlink" xfId="1520" builtinId="8" hidden="1"/>
    <cellStyle name="Hyperlink" xfId="1510" builtinId="8" hidden="1"/>
    <cellStyle name="Hyperlink" xfId="1495" builtinId="8" hidden="1"/>
    <cellStyle name="Hyperlink" xfId="1449" builtinId="8" hidden="1"/>
    <cellStyle name="Hyperlink" xfId="1439" builtinId="8" hidden="1"/>
    <cellStyle name="Hyperlink" xfId="1413" builtinId="8" hidden="1"/>
    <cellStyle name="Hyperlink" xfId="1674" builtinId="8" hidden="1"/>
    <cellStyle name="Hyperlink" xfId="2066" builtinId="8" hidden="1"/>
    <cellStyle name="Hyperlink" xfId="2262" builtinId="8" hidden="1"/>
    <cellStyle name="Hyperlink" xfId="2845" builtinId="8" hidden="1"/>
    <cellStyle name="Hyperlink" xfId="1788" builtinId="8" hidden="1"/>
    <cellStyle name="Hyperlink" xfId="686" builtinId="8" hidden="1"/>
    <cellStyle name="Hyperlink" xfId="1240" builtinId="8" hidden="1"/>
    <cellStyle name="Hyperlink" xfId="411" builtinId="8" hidden="1"/>
    <cellStyle name="Hyperlink" xfId="97" builtinId="8" hidden="1"/>
    <cellStyle name="Hyperlink" xfId="127" builtinId="8" hidden="1"/>
    <cellStyle name="Hyperlink" xfId="227" builtinId="8" hidden="1"/>
    <cellStyle name="Hyperlink" xfId="167" builtinId="8" hidden="1"/>
    <cellStyle name="Hyperlink" xfId="1072" builtinId="8" hidden="1"/>
    <cellStyle name="Hyperlink" xfId="1076" builtinId="8" hidden="1"/>
    <cellStyle name="Hyperlink" xfId="1080" builtinId="8" hidden="1"/>
    <cellStyle name="Hyperlink" xfId="1092" builtinId="8" hidden="1"/>
    <cellStyle name="Hyperlink" xfId="1094" builtinId="8" hidden="1"/>
    <cellStyle name="Hyperlink" xfId="1104" builtinId="8" hidden="1"/>
    <cellStyle name="Hyperlink" xfId="1110" builtinId="8" hidden="1"/>
    <cellStyle name="Hyperlink" xfId="1118" builtinId="8" hidden="1"/>
    <cellStyle name="Hyperlink" xfId="1120" builtinId="8" hidden="1"/>
    <cellStyle name="Hyperlink" xfId="1130" builtinId="8" hidden="1"/>
    <cellStyle name="Hyperlink" xfId="1138" builtinId="8" hidden="1"/>
    <cellStyle name="Hyperlink" xfId="1140" builtinId="8" hidden="1"/>
    <cellStyle name="Hyperlink" xfId="1154" builtinId="8" hidden="1"/>
    <cellStyle name="Hyperlink" xfId="1160" builtinId="8" hidden="1"/>
    <cellStyle name="Hyperlink" xfId="1166" builtinId="8" hidden="1"/>
    <cellStyle name="Hyperlink" xfId="1174" builtinId="8" hidden="1"/>
    <cellStyle name="Hyperlink" xfId="1182" builtinId="8" hidden="1"/>
    <cellStyle name="Hyperlink" xfId="1186" builtinId="8" hidden="1"/>
    <cellStyle name="Hyperlink" xfId="1202" builtinId="8" hidden="1"/>
    <cellStyle name="Hyperlink" xfId="1204" builtinId="8" hidden="1"/>
    <cellStyle name="Hyperlink" xfId="1210" builtinId="8" hidden="1"/>
    <cellStyle name="Hyperlink" xfId="1220" builtinId="8" hidden="1"/>
    <cellStyle name="Hyperlink" xfId="1224" builtinId="8" hidden="1"/>
    <cellStyle name="Hyperlink" xfId="1234" builtinId="8" hidden="1"/>
    <cellStyle name="Hyperlink" xfId="1238" builtinId="8" hidden="1"/>
    <cellStyle name="Hyperlink" xfId="1232" builtinId="8" hidden="1"/>
    <cellStyle name="Hyperlink" xfId="1164" builtinId="8" hidden="1"/>
    <cellStyle name="Hyperlink" xfId="1004" builtinId="8" hidden="1"/>
    <cellStyle name="Hyperlink" xfId="907" builtinId="8" hidden="1"/>
    <cellStyle name="Hyperlink" xfId="872" builtinId="8" hidden="1"/>
    <cellStyle name="Hyperlink" xfId="648" builtinId="8" hidden="1"/>
    <cellStyle name="Hyperlink" xfId="587" builtinId="8" hidden="1"/>
    <cellStyle name="Hyperlink" xfId="285" builtinId="8" hidden="1"/>
    <cellStyle name="Hyperlink" xfId="293" builtinId="8" hidden="1"/>
    <cellStyle name="Hyperlink" xfId="306" builtinId="8" hidden="1"/>
    <cellStyle name="Hyperlink" xfId="308" builtinId="8" hidden="1"/>
    <cellStyle name="Hyperlink" xfId="320" builtinId="8" hidden="1"/>
    <cellStyle name="Hyperlink" xfId="322" builtinId="8" hidden="1"/>
    <cellStyle name="Hyperlink" xfId="328" builtinId="8" hidden="1"/>
    <cellStyle name="Hyperlink" xfId="340" builtinId="8" hidden="1"/>
    <cellStyle name="Hyperlink" xfId="342" builtinId="8" hidden="1"/>
    <cellStyle name="Hyperlink" xfId="350" builtinId="8" hidden="1"/>
    <cellStyle name="Hyperlink" xfId="356" builtinId="8" hidden="1"/>
    <cellStyle name="Hyperlink" xfId="364" builtinId="8" hidden="1"/>
    <cellStyle name="Hyperlink" xfId="366" builtinId="8" hidden="1"/>
    <cellStyle name="Hyperlink" xfId="379" builtinId="8" hidden="1"/>
    <cellStyle name="Hyperlink" xfId="383" builtinId="8" hidden="1"/>
    <cellStyle name="Hyperlink" xfId="389" builtinId="8" hidden="1"/>
    <cellStyle name="Hyperlink" xfId="401" builtinId="8" hidden="1"/>
    <cellStyle name="Hyperlink" xfId="407" builtinId="8" hidden="1"/>
    <cellStyle name="Hyperlink" xfId="413" builtinId="8" hidden="1"/>
    <cellStyle name="Hyperlink" xfId="421" builtinId="8" hidden="1"/>
    <cellStyle name="Hyperlink" xfId="429" builtinId="8" hidden="1"/>
    <cellStyle name="Hyperlink" xfId="431" builtinId="8" hidden="1"/>
    <cellStyle name="Hyperlink" xfId="441" builtinId="8" hidden="1"/>
    <cellStyle name="Hyperlink" xfId="445" builtinId="8" hidden="1"/>
    <cellStyle name="Hyperlink" xfId="449" builtinId="8" hidden="1"/>
    <cellStyle name="Hyperlink" xfId="463" builtinId="8" hidden="1"/>
    <cellStyle name="Hyperlink" xfId="465" builtinId="8" hidden="1"/>
    <cellStyle name="Hyperlink" xfId="473" builtinId="8" hidden="1"/>
    <cellStyle name="Hyperlink" xfId="479" builtinId="8" hidden="1"/>
    <cellStyle name="Hyperlink" xfId="487" builtinId="8" hidden="1"/>
    <cellStyle name="Hyperlink" xfId="489" builtinId="8" hidden="1"/>
    <cellStyle name="Hyperlink" xfId="499" builtinId="8" hidden="1"/>
    <cellStyle name="Hyperlink" xfId="507" builtinId="8" hidden="1"/>
    <cellStyle name="Hyperlink" xfId="511" builtinId="8" hidden="1"/>
    <cellStyle name="Hyperlink" xfId="521" builtinId="8" hidden="1"/>
    <cellStyle name="Hyperlink" xfId="529" builtinId="8" hidden="1"/>
    <cellStyle name="Hyperlink" xfId="533" builtinId="8" hidden="1"/>
    <cellStyle name="Hyperlink" xfId="541" builtinId="8" hidden="1"/>
    <cellStyle name="Hyperlink" xfId="549" builtinId="8" hidden="1"/>
    <cellStyle name="Hyperlink" xfId="553" builtinId="8" hidden="1"/>
    <cellStyle name="Hyperlink" xfId="563" builtinId="8" hidden="1"/>
    <cellStyle name="Hyperlink" xfId="565" builtinId="8" hidden="1"/>
    <cellStyle name="Hyperlink" xfId="571" builtinId="8" hidden="1"/>
    <cellStyle name="Hyperlink" xfId="581" builtinId="8" hidden="1"/>
    <cellStyle name="Hyperlink" xfId="459" builtinId="8" hidden="1"/>
    <cellStyle name="Hyperlink" xfId="141" builtinId="8" hidden="1"/>
    <cellStyle name="Hyperlink" xfId="145" builtinId="8" hidden="1"/>
    <cellStyle name="Hyperlink" xfId="153" builtinId="8" hidden="1"/>
    <cellStyle name="Hyperlink" xfId="157" builtinId="8" hidden="1"/>
    <cellStyle name="Hyperlink" xfId="840" builtinId="8" hidden="1"/>
    <cellStyle name="Hyperlink" xfId="1148" builtinId="8" hidden="1"/>
    <cellStyle name="Hyperlink" xfId="792" builtinId="8" hidden="1"/>
    <cellStyle name="Hyperlink" xfId="802" builtinId="8" hidden="1"/>
    <cellStyle name="Hyperlink" xfId="806" builtinId="8" hidden="1"/>
    <cellStyle name="Hyperlink" xfId="816" builtinId="8" hidden="1"/>
    <cellStyle name="Hyperlink" xfId="820" builtinId="8" hidden="1"/>
    <cellStyle name="Hyperlink" xfId="828" builtinId="8" hidden="1"/>
    <cellStyle name="Hyperlink" xfId="832" builtinId="8" hidden="1"/>
    <cellStyle name="Hyperlink" xfId="844" builtinId="8" hidden="1"/>
    <cellStyle name="Hyperlink" xfId="850" builtinId="8" hidden="1"/>
    <cellStyle name="Hyperlink" xfId="852" builtinId="8" hidden="1"/>
    <cellStyle name="Hyperlink" xfId="862" builtinId="8" hidden="1"/>
    <cellStyle name="Hyperlink" xfId="866" builtinId="8" hidden="1"/>
    <cellStyle name="Hyperlink" xfId="876" builtinId="8" hidden="1"/>
    <cellStyle name="Hyperlink" xfId="884" builtinId="8" hidden="1"/>
    <cellStyle name="Hyperlink" xfId="888" builtinId="8" hidden="1"/>
    <cellStyle name="Hyperlink" xfId="894" builtinId="8" hidden="1"/>
    <cellStyle name="Hyperlink" xfId="913" builtinId="8" hidden="1"/>
    <cellStyle name="Hyperlink" xfId="915" builtinId="8" hidden="1"/>
    <cellStyle name="Hyperlink" xfId="921" builtinId="8" hidden="1"/>
    <cellStyle name="Hyperlink" xfId="931" builtinId="8" hidden="1"/>
    <cellStyle name="Hyperlink" xfId="933" builtinId="8" hidden="1"/>
    <cellStyle name="Hyperlink" xfId="943" builtinId="8" hidden="1"/>
    <cellStyle name="Hyperlink" xfId="949" builtinId="8" hidden="1"/>
    <cellStyle name="Hyperlink" xfId="957" builtinId="8" hidden="1"/>
    <cellStyle name="Hyperlink" xfId="959" builtinId="8" hidden="1"/>
    <cellStyle name="Hyperlink" xfId="974" builtinId="8" hidden="1"/>
    <cellStyle name="Hyperlink" xfId="978" builtinId="8" hidden="1"/>
    <cellStyle name="Hyperlink" xfId="982" builtinId="8" hidden="1"/>
    <cellStyle name="Hyperlink" xfId="992" builtinId="8" hidden="1"/>
    <cellStyle name="Hyperlink" xfId="994" builtinId="8" hidden="1"/>
    <cellStyle name="Hyperlink" xfId="1002" builtinId="8" hidden="1"/>
    <cellStyle name="Hyperlink" xfId="1012" builtinId="8" hidden="1"/>
    <cellStyle name="Hyperlink" xfId="1018" builtinId="8" hidden="1"/>
    <cellStyle name="Hyperlink" xfId="1024" builtinId="8" hidden="1"/>
    <cellStyle name="Hyperlink" xfId="1034" builtinId="8" hidden="1"/>
    <cellStyle name="Hyperlink" xfId="1038" builtinId="8" hidden="1"/>
    <cellStyle name="Hyperlink" xfId="1042" builtinId="8" hidden="1"/>
    <cellStyle name="Hyperlink" xfId="1052" builtinId="8" hidden="1"/>
    <cellStyle name="Hyperlink" xfId="1058" builtinId="8" hidden="1"/>
    <cellStyle name="Hyperlink" xfId="903" builtinId="8" hidden="1"/>
    <cellStyle name="Hyperlink" xfId="666" builtinId="8" hidden="1"/>
    <cellStyle name="Hyperlink" xfId="672" builtinId="8" hidden="1"/>
    <cellStyle name="Hyperlink" xfId="678" builtinId="8" hidden="1"/>
    <cellStyle name="Hyperlink" xfId="690" builtinId="8" hidden="1"/>
    <cellStyle name="Hyperlink" xfId="692" builtinId="8" hidden="1"/>
    <cellStyle name="Hyperlink" xfId="696" builtinId="8" hidden="1"/>
    <cellStyle name="Hyperlink" xfId="706" builtinId="8" hidden="1"/>
    <cellStyle name="Hyperlink" xfId="714" builtinId="8" hidden="1"/>
    <cellStyle name="Hyperlink" xfId="718" builtinId="8" hidden="1"/>
    <cellStyle name="Hyperlink" xfId="726" builtinId="8" hidden="1"/>
    <cellStyle name="Hyperlink" xfId="734" builtinId="8" hidden="1"/>
    <cellStyle name="Hyperlink" xfId="738" builtinId="8" hidden="1"/>
    <cellStyle name="Hyperlink" xfId="750" builtinId="8" hidden="1"/>
    <cellStyle name="Hyperlink" xfId="752" builtinId="8" hidden="1"/>
    <cellStyle name="Hyperlink" xfId="758" builtinId="8" hidden="1"/>
    <cellStyle name="Hyperlink" xfId="768" builtinId="8" hidden="1"/>
    <cellStyle name="Hyperlink" xfId="772" builtinId="8" hidden="1"/>
    <cellStyle name="Hyperlink" xfId="782" builtinId="8" hidden="1"/>
    <cellStyle name="Hyperlink" xfId="786" builtinId="8" hidden="1"/>
    <cellStyle name="Hyperlink" xfId="597" builtinId="8" hidden="1"/>
    <cellStyle name="Hyperlink" xfId="601" builtinId="8" hidden="1"/>
    <cellStyle name="Hyperlink" xfId="610" builtinId="8" hidden="1"/>
    <cellStyle name="Hyperlink" xfId="612" builtinId="8" hidden="1"/>
    <cellStyle name="Hyperlink" xfId="614" builtinId="8" hidden="1"/>
    <cellStyle name="Hyperlink" xfId="628" builtinId="8" hidden="1"/>
    <cellStyle name="Hyperlink" xfId="632" builtinId="8" hidden="1"/>
    <cellStyle name="Hyperlink" xfId="638" builtinId="8" hidden="1"/>
    <cellStyle name="Hyperlink" xfId="646" builtinId="8" hidden="1"/>
    <cellStyle name="Hyperlink" xfId="656" builtinId="8" hidden="1"/>
    <cellStyle name="Hyperlink" xfId="1361" builtinId="8" hidden="1"/>
    <cellStyle name="Hyperlink" xfId="1264" builtinId="8" hidden="1"/>
    <cellStyle name="Hyperlink" xfId="1248" builtinId="8" hidden="1"/>
    <cellStyle name="Hyperlink" xfId="583" builtinId="8" hidden="1"/>
    <cellStyle name="Hyperlink" xfId="1489" builtinId="8" hidden="1"/>
    <cellStyle name="Hyperlink" xfId="1441" builtinId="8" hidden="1"/>
    <cellStyle name="Hyperlink" xfId="1393" builtinId="8" hidden="1"/>
    <cellStyle name="Hyperlink" xfId="1502" builtinId="8" hidden="1"/>
    <cellStyle name="Hyperlink" xfId="1582" builtinId="8" hidden="1"/>
    <cellStyle name="Hyperlink" xfId="1566" builtinId="8" hidden="1"/>
    <cellStyle name="Hyperlink" xfId="591" builtinId="8" hidden="1"/>
    <cellStyle name="Hyperlink" xfId="1313" builtinId="8" hidden="1"/>
    <cellStyle name="Hyperlink" xfId="650" builtinId="8" hidden="1"/>
    <cellStyle name="Hyperlink" xfId="622" builtinId="8" hidden="1"/>
    <cellStyle name="Hyperlink" xfId="604" builtinId="8" hidden="1"/>
    <cellStyle name="Hyperlink" xfId="658" builtinId="8" hidden="1"/>
    <cellStyle name="Hyperlink" xfId="760" builtinId="8" hidden="1"/>
    <cellStyle name="Hyperlink" xfId="748" builtinId="8" hidden="1"/>
    <cellStyle name="Hyperlink" xfId="730" builtinId="8" hidden="1"/>
    <cellStyle name="Hyperlink" xfId="700" builtinId="8" hidden="1"/>
    <cellStyle name="Hyperlink" xfId="684" builtinId="8" hidden="1"/>
    <cellStyle name="Hyperlink" xfId="670" builtinId="8" hidden="1"/>
    <cellStyle name="Hyperlink" xfId="1046" builtinId="8" hidden="1"/>
    <cellStyle name="Hyperlink" xfId="1028" builtinId="8" hidden="1"/>
    <cellStyle name="Hyperlink" xfId="1016" builtinId="8" hidden="1"/>
    <cellStyle name="Hyperlink" xfId="984" builtinId="8" hidden="1"/>
    <cellStyle name="Hyperlink" xfId="967" builtinId="8" hidden="1"/>
    <cellStyle name="Hyperlink" xfId="955" builtinId="8" hidden="1"/>
    <cellStyle name="Hyperlink" xfId="923" builtinId="8" hidden="1"/>
    <cellStyle name="Hyperlink" xfId="909" builtinId="8" hidden="1"/>
    <cellStyle name="Hyperlink" xfId="886" builtinId="8" hidden="1"/>
    <cellStyle name="Hyperlink" xfId="854" builtinId="8" hidden="1"/>
    <cellStyle name="Hyperlink" xfId="842" builtinId="8" hidden="1"/>
    <cellStyle name="Hyperlink" xfId="826" builtinId="8" hidden="1"/>
    <cellStyle name="Hyperlink" xfId="794" builtinId="8" hidden="1"/>
    <cellStyle name="Hyperlink" xfId="387" builtinId="8" hidden="1"/>
    <cellStyle name="Hyperlink" xfId="151" builtinId="8" hidden="1"/>
    <cellStyle name="Hyperlink" xfId="573" builtinId="8" hidden="1"/>
    <cellStyle name="Hyperlink" xfId="561" builtinId="8" hidden="1"/>
    <cellStyle name="Hyperlink" xfId="545" builtinId="8" hidden="1"/>
    <cellStyle name="Hyperlink" xfId="515" builtinId="8" hidden="1"/>
    <cellStyle name="Hyperlink" xfId="497" builtinId="8" hidden="1"/>
    <cellStyle name="Hyperlink" xfId="483" builtinId="8" hidden="1"/>
    <cellStyle name="Hyperlink" xfId="453" builtinId="8" hidden="1"/>
    <cellStyle name="Hyperlink" xfId="439" builtinId="8" hidden="1"/>
    <cellStyle name="Hyperlink" xfId="423" builtinId="8" hidden="1"/>
    <cellStyle name="Hyperlink" xfId="397" builtinId="8" hidden="1"/>
    <cellStyle name="Hyperlink" xfId="374" builtinId="8" hidden="1"/>
    <cellStyle name="Hyperlink" xfId="362" builtinId="8" hidden="1"/>
    <cellStyle name="Hyperlink" xfId="332" builtinId="8" hidden="1"/>
    <cellStyle name="Hyperlink" xfId="316" builtinId="8" hidden="1"/>
    <cellStyle name="Hyperlink" xfId="295" builtinId="8" hidden="1"/>
    <cellStyle name="Hyperlink" xfId="744" builtinId="8" hidden="1"/>
    <cellStyle name="Hyperlink" xfId="1036" builtinId="8" hidden="1"/>
    <cellStyle name="Hyperlink" xfId="1244" builtinId="8" hidden="1"/>
    <cellStyle name="Hyperlink" xfId="1212" builtinId="8" hidden="1"/>
    <cellStyle name="Hyperlink" xfId="1196" builtinId="8" hidden="1"/>
    <cellStyle name="Hyperlink" xfId="1178" builtinId="8" hidden="1"/>
    <cellStyle name="Hyperlink" xfId="1144" builtinId="8" hidden="1"/>
    <cellStyle name="Hyperlink" xfId="1128" builtinId="8" hidden="1"/>
    <cellStyle name="Hyperlink" xfId="1114" builtinId="8" hidden="1"/>
    <cellStyle name="Hyperlink" xfId="1084" builtinId="8" hidden="1"/>
    <cellStyle name="Hyperlink" xfId="1070" builtinId="8" hidden="1"/>
    <cellStyle name="Hyperlink" xfId="69" builtinId="8" hidden="1"/>
    <cellStyle name="Hyperlink" xfId="864" builtinId="8" hidden="1"/>
    <cellStyle name="Hyperlink" xfId="2651" builtinId="8" hidden="1"/>
    <cellStyle name="Hyperlink" xfId="1874" builtinId="8" hidden="1"/>
    <cellStyle name="Hyperlink" xfId="1477" builtinId="8" hidden="1"/>
    <cellStyle name="Hyperlink" xfId="1528" builtinId="8" hidden="1"/>
    <cellStyle name="Hyperlink" xfId="1584" builtinId="8" hidden="1"/>
    <cellStyle name="Hyperlink" xfId="1692" builtinId="8" hidden="1"/>
    <cellStyle name="Hyperlink" xfId="1738" builtinId="8" hidden="1"/>
    <cellStyle name="Hyperlink" xfId="1784" builtinId="8" hidden="1"/>
    <cellStyle name="Hyperlink" xfId="1892" builtinId="8" hidden="1"/>
    <cellStyle name="Hyperlink" xfId="1946" builtinId="8" hidden="1"/>
    <cellStyle name="Hyperlink" xfId="1992" builtinId="8" hidden="1"/>
    <cellStyle name="Hyperlink" xfId="2105" builtinId="8" hidden="1"/>
    <cellStyle name="Hyperlink" xfId="2151" builtinId="8" hidden="1"/>
    <cellStyle name="Hyperlink" xfId="2206" builtinId="8" hidden="1"/>
    <cellStyle name="Hyperlink" xfId="2316" builtinId="8" hidden="1"/>
    <cellStyle name="Hyperlink" xfId="2362" builtinId="8" hidden="1"/>
    <cellStyle name="Hyperlink" xfId="2405" builtinId="8" hidden="1"/>
    <cellStyle name="Hyperlink" xfId="2515" builtinId="8" hidden="1"/>
    <cellStyle name="Hyperlink" xfId="2569" builtinId="8" hidden="1"/>
    <cellStyle name="Hyperlink" xfId="2615" builtinId="8" hidden="1"/>
    <cellStyle name="Hyperlink" xfId="2725" builtinId="8" hidden="1"/>
    <cellStyle name="Hyperlink" xfId="2773" builtinId="8" hidden="1"/>
    <cellStyle name="Hyperlink" xfId="2827" builtinId="8" hidden="1"/>
    <cellStyle name="Hyperlink" xfId="2557" builtinId="8" hidden="1"/>
    <cellStyle name="Hyperlink" xfId="2240" builtinId="8" hidden="1"/>
    <cellStyle name="Hyperlink" xfId="1916" builtinId="8" hidden="1"/>
    <cellStyle name="Hyperlink" xfId="595" builtinId="8" hidden="1"/>
    <cellStyle name="Hyperlink" xfId="642" builtinId="8" hidden="1"/>
    <cellStyle name="Hyperlink" xfId="694" builtinId="8" hidden="1"/>
    <cellStyle name="Hyperlink" xfId="788" builtinId="8" hidden="1"/>
    <cellStyle name="Hyperlink" xfId="830" builtinId="8" hidden="1"/>
    <cellStyle name="Hyperlink" xfId="890" builtinId="8" hidden="1"/>
    <cellStyle name="Hyperlink" xfId="988" builtinId="8" hidden="1"/>
    <cellStyle name="Hyperlink" xfId="1030" builtinId="8" hidden="1"/>
    <cellStyle name="Hyperlink" xfId="1090" builtinId="8" hidden="1"/>
    <cellStyle name="Hyperlink" xfId="1176" builtinId="8" hidden="1"/>
    <cellStyle name="Hyperlink" xfId="1230" builtinId="8" hidden="1"/>
    <cellStyle name="Hyperlink" xfId="680" builtinId="8" hidden="1"/>
    <cellStyle name="Hyperlink" xfId="368" builtinId="8" hidden="1"/>
    <cellStyle name="Hyperlink" xfId="427" builtinId="8" hidden="1"/>
    <cellStyle name="Hyperlink" xfId="469" builtinId="8" hidden="1"/>
    <cellStyle name="Hyperlink" xfId="559" builtinId="8" hidden="1"/>
    <cellStyle name="Hyperlink" xfId="155" builtinId="8" hidden="1"/>
    <cellStyle name="Hyperlink" xfId="205" builtinId="8" hidden="1"/>
    <cellStyle name="Hyperlink" xfId="71" builtinId="8" hidden="1"/>
    <cellStyle name="Hyperlink" xfId="129" builtinId="8" hidden="1"/>
    <cellStyle name="Hyperlink" xfId="61" builtinId="8" hidden="1"/>
    <cellStyle name="Hyperlink" xfId="31" builtinId="8" hidden="1"/>
    <cellStyle name="Hyperlink" xfId="63" builtinId="8" hidden="1"/>
    <cellStyle name="Hyperlink" xfId="49" builtinId="8" hidden="1"/>
    <cellStyle name="Hyperlink" xfId="125" builtinId="8" hidden="1"/>
    <cellStyle name="Hyperlink" xfId="111" builtinId="8" hidden="1"/>
    <cellStyle name="Hyperlink" xfId="95" builtinId="8" hidden="1"/>
    <cellStyle name="Hyperlink" xfId="275" builtinId="8" hidden="1"/>
    <cellStyle name="Hyperlink" xfId="263" builtinId="8" hidden="1"/>
    <cellStyle name="Hyperlink" xfId="249" builtinId="8" hidden="1"/>
    <cellStyle name="Hyperlink" xfId="217" builtinId="8" hidden="1"/>
    <cellStyle name="Hyperlink" xfId="201" builtinId="8" hidden="1"/>
    <cellStyle name="Hyperlink" xfId="185" builtinId="8" hidden="1"/>
    <cellStyle name="Hyperlink" xfId="1293" builtinId="8" hidden="1"/>
    <cellStyle name="Hyperlink" xfId="4113" builtinId="8" hidden="1"/>
    <cellStyle name="Hyperlink" xfId="5485" builtinId="8" hidden="1"/>
    <cellStyle name="Hyperlink" xfId="7936" builtinId="8" hidden="1"/>
    <cellStyle name="Hyperlink" xfId="7480" builtinId="8" hidden="1"/>
    <cellStyle name="Hyperlink" xfId="7030" builtinId="8" hidden="1"/>
    <cellStyle name="Hyperlink" xfId="4709" builtinId="8" hidden="1"/>
    <cellStyle name="Hyperlink" xfId="4844" builtinId="8" hidden="1"/>
    <cellStyle name="Hyperlink" xfId="4976" builtinId="8" hidden="1"/>
    <cellStyle name="Hyperlink" xfId="5231" builtinId="8" hidden="1"/>
    <cellStyle name="Hyperlink" xfId="5363" builtinId="8" hidden="1"/>
    <cellStyle name="Hyperlink" xfId="5495" builtinId="8" hidden="1"/>
    <cellStyle name="Hyperlink" xfId="5757" builtinId="8" hidden="1"/>
    <cellStyle name="Hyperlink" xfId="5887" builtinId="8" hidden="1"/>
    <cellStyle name="Hyperlink" xfId="6012" builtinId="8" hidden="1"/>
    <cellStyle name="Hyperlink" xfId="6266" builtinId="8" hidden="1"/>
    <cellStyle name="Hyperlink" xfId="6394" builtinId="8" hidden="1"/>
    <cellStyle name="Hyperlink" xfId="6528" builtinId="8" hidden="1"/>
    <cellStyle name="Hyperlink" xfId="6304" builtinId="8" hidden="1"/>
    <cellStyle name="Hyperlink" xfId="5395" builtinId="8" hidden="1"/>
    <cellStyle name="Hyperlink" xfId="5073" builtinId="8" hidden="1"/>
    <cellStyle name="Hyperlink" xfId="5329" builtinId="8" hidden="1"/>
    <cellStyle name="Hyperlink" xfId="5481" builtinId="8" hidden="1"/>
    <cellStyle name="Hyperlink" xfId="5587" builtinId="8" hidden="1"/>
    <cellStyle name="Hyperlink" xfId="5891" builtinId="8" hidden="1"/>
    <cellStyle name="Hyperlink" xfId="5994" builtinId="8" hidden="1"/>
    <cellStyle name="Hyperlink" xfId="6144" builtinId="8" hidden="1"/>
    <cellStyle name="Hyperlink" xfId="6390" builtinId="8" hidden="1"/>
    <cellStyle name="Hyperlink" xfId="6496" builtinId="8" hidden="1"/>
    <cellStyle name="Hyperlink" xfId="6649" builtinId="8" hidden="1"/>
    <cellStyle name="Hyperlink" xfId="6701" builtinId="8" hidden="1"/>
    <cellStyle name="Hyperlink" xfId="6683" builtinId="8" hidden="1"/>
    <cellStyle name="Hyperlink" xfId="6665" builtinId="8" hidden="1"/>
    <cellStyle name="Hyperlink" xfId="6629" builtinId="8" hidden="1"/>
    <cellStyle name="Hyperlink" xfId="6611" builtinId="8" hidden="1"/>
    <cellStyle name="Hyperlink" xfId="6588" builtinId="8" hidden="1"/>
    <cellStyle name="Hyperlink" xfId="6552" builtinId="8" hidden="1"/>
    <cellStyle name="Hyperlink" xfId="6536" builtinId="8" hidden="1"/>
    <cellStyle name="Hyperlink" xfId="6512" builtinId="8" hidden="1"/>
    <cellStyle name="Hyperlink" xfId="6478" builtinId="8" hidden="1"/>
    <cellStyle name="Hyperlink" xfId="6456" builtinId="8" hidden="1"/>
    <cellStyle name="Hyperlink" xfId="6440" builtinId="8" hidden="1"/>
    <cellStyle name="Hyperlink" xfId="6402" builtinId="8" hidden="1"/>
    <cellStyle name="Hyperlink" xfId="6382" builtinId="8" hidden="1"/>
    <cellStyle name="Hyperlink" xfId="6366" builtinId="8" hidden="1"/>
    <cellStyle name="Hyperlink" xfId="6328" builtinId="8" hidden="1"/>
    <cellStyle name="Hyperlink" xfId="6310" builtinId="8" hidden="1"/>
    <cellStyle name="Hyperlink" xfId="6290" builtinId="8" hidden="1"/>
    <cellStyle name="Hyperlink" xfId="6254" builtinId="8" hidden="1"/>
    <cellStyle name="Hyperlink" xfId="4750" builtinId="8" hidden="1"/>
    <cellStyle name="Hyperlink" xfId="6226" builtinId="8" hidden="1"/>
    <cellStyle name="Hyperlink" xfId="6192" builtinId="8" hidden="1"/>
    <cellStyle name="Hyperlink" xfId="6170" builtinId="8" hidden="1"/>
    <cellStyle name="Hyperlink" xfId="6154" builtinId="8" hidden="1"/>
    <cellStyle name="Hyperlink" xfId="6116" builtinId="8" hidden="1"/>
    <cellStyle name="Hyperlink" xfId="6096" builtinId="8" hidden="1"/>
    <cellStyle name="Hyperlink" xfId="6074" builtinId="8" hidden="1"/>
    <cellStyle name="Hyperlink" xfId="6040" builtinId="8" hidden="1"/>
    <cellStyle name="Hyperlink" xfId="6024" builtinId="8" hidden="1"/>
    <cellStyle name="Hyperlink" xfId="6002" builtinId="8" hidden="1"/>
    <cellStyle name="Hyperlink" xfId="5964" builtinId="8" hidden="1"/>
    <cellStyle name="Hyperlink" xfId="5946" builtinId="8" hidden="1"/>
    <cellStyle name="Hyperlink" xfId="5931" builtinId="8" hidden="1"/>
    <cellStyle name="Hyperlink" xfId="5895" builtinId="8" hidden="1"/>
    <cellStyle name="Hyperlink" xfId="5877" builtinId="8" hidden="1"/>
    <cellStyle name="Hyperlink" xfId="5859" builtinId="8" hidden="1"/>
    <cellStyle name="Hyperlink" xfId="5819" builtinId="8" hidden="1"/>
    <cellStyle name="Hyperlink" xfId="5803" builtinId="8" hidden="1"/>
    <cellStyle name="Hyperlink" xfId="5781" builtinId="8" hidden="1"/>
    <cellStyle name="Hyperlink" xfId="5747" builtinId="8" hidden="1"/>
    <cellStyle name="Hyperlink" xfId="5731" builtinId="8" hidden="1"/>
    <cellStyle name="Hyperlink" xfId="5708" builtinId="8" hidden="1"/>
    <cellStyle name="Hyperlink" xfId="5670" builtinId="8" hidden="1"/>
    <cellStyle name="Hyperlink" xfId="5650" builtinId="8" hidden="1"/>
    <cellStyle name="Hyperlink" xfId="5633" builtinId="8" hidden="1"/>
    <cellStyle name="Hyperlink" xfId="5595" builtinId="8" hidden="1"/>
    <cellStyle name="Hyperlink" xfId="5575" builtinId="8" hidden="1"/>
    <cellStyle name="Hyperlink" xfId="5555" builtinId="8" hidden="1"/>
    <cellStyle name="Hyperlink" xfId="5519" builtinId="8" hidden="1"/>
    <cellStyle name="Hyperlink" xfId="5499" builtinId="8" hidden="1"/>
    <cellStyle name="Hyperlink" xfId="5483" builtinId="8" hidden="1"/>
    <cellStyle name="Hyperlink" xfId="5447" builtinId="8" hidden="1"/>
    <cellStyle name="Hyperlink" xfId="5425" builtinId="8" hidden="1"/>
    <cellStyle name="Hyperlink" xfId="5409" builtinId="8" hidden="1"/>
    <cellStyle name="Hyperlink" xfId="5371" builtinId="8" hidden="1"/>
    <cellStyle name="Hyperlink" xfId="5351" builtinId="8" hidden="1"/>
    <cellStyle name="Hyperlink" xfId="5335" builtinId="8" hidden="1"/>
    <cellStyle name="Hyperlink" xfId="5293" builtinId="8" hidden="1"/>
    <cellStyle name="Hyperlink" xfId="5277" builtinId="8" hidden="1"/>
    <cellStyle name="Hyperlink" xfId="5255" builtinId="8" hidden="1"/>
    <cellStyle name="Hyperlink" xfId="5217" builtinId="8" hidden="1"/>
    <cellStyle name="Hyperlink" xfId="5205" builtinId="8" hidden="1"/>
    <cellStyle name="Hyperlink" xfId="5183" builtinId="8" hidden="1"/>
    <cellStyle name="Hyperlink" xfId="5145" builtinId="8" hidden="1"/>
    <cellStyle name="Hyperlink" xfId="5127" builtinId="8" hidden="1"/>
    <cellStyle name="Hyperlink" xfId="5109" builtinId="8" hidden="1"/>
    <cellStyle name="Hyperlink" xfId="5071" builtinId="8" hidden="1"/>
    <cellStyle name="Hyperlink" xfId="5055" builtinId="8" hidden="1"/>
    <cellStyle name="Hyperlink" xfId="5036" builtinId="8" hidden="1"/>
    <cellStyle name="Hyperlink" xfId="5000" builtinId="8" hidden="1"/>
    <cellStyle name="Hyperlink" xfId="4984" builtinId="8" hidden="1"/>
    <cellStyle name="Hyperlink" xfId="4962" builtinId="8" hidden="1"/>
    <cellStyle name="Hyperlink" xfId="4924" builtinId="8" hidden="1"/>
    <cellStyle name="Hyperlink" xfId="4904" builtinId="8" hidden="1"/>
    <cellStyle name="Hyperlink" xfId="4890" builtinId="8" hidden="1"/>
    <cellStyle name="Hyperlink" xfId="4852" builtinId="8" hidden="1"/>
    <cellStyle name="Hyperlink" xfId="4832" builtinId="8" hidden="1"/>
    <cellStyle name="Hyperlink" xfId="4815" builtinId="8" hidden="1"/>
    <cellStyle name="Hyperlink" xfId="4775" builtinId="8" hidden="1"/>
    <cellStyle name="Hyperlink" xfId="4759" builtinId="8" hidden="1"/>
    <cellStyle name="Hyperlink" xfId="4733" builtinId="8" hidden="1"/>
    <cellStyle name="Hyperlink" xfId="4697" builtinId="8" hidden="1"/>
    <cellStyle name="Hyperlink" xfId="4677" builtinId="8" hidden="1"/>
    <cellStyle name="Hyperlink" xfId="4659" builtinId="8" hidden="1"/>
    <cellStyle name="Hyperlink" xfId="4625" builtinId="8" hidden="1"/>
    <cellStyle name="Hyperlink" xfId="4603" builtinId="8" hidden="1"/>
    <cellStyle name="Hyperlink" xfId="4587" builtinId="8" hidden="1"/>
    <cellStyle name="Hyperlink" xfId="4549" builtinId="8" hidden="1"/>
    <cellStyle name="Hyperlink" xfId="6745" builtinId="8" hidden="1"/>
    <cellStyle name="Hyperlink" xfId="6819" builtinId="8" hidden="1"/>
    <cellStyle name="Hyperlink" xfId="6944" builtinId="8" hidden="1"/>
    <cellStyle name="Hyperlink" xfId="6998" builtinId="8" hidden="1"/>
    <cellStyle name="Hyperlink" xfId="7072" builtinId="8" hidden="1"/>
    <cellStyle name="Hyperlink" xfId="7200" builtinId="8" hidden="1"/>
    <cellStyle name="Hyperlink" xfId="7264" builtinId="8" hidden="1"/>
    <cellStyle name="Hyperlink" xfId="7328" builtinId="8" hidden="1"/>
    <cellStyle name="Hyperlink" xfId="7458" builtinId="8" hidden="1"/>
    <cellStyle name="Hyperlink" xfId="7523" builtinId="8" hidden="1"/>
    <cellStyle name="Hyperlink" xfId="7587" builtinId="8" hidden="1"/>
    <cellStyle name="Hyperlink" xfId="7722" builtinId="8" hidden="1"/>
    <cellStyle name="Hyperlink" xfId="7776" builtinId="8" hidden="1"/>
    <cellStyle name="Hyperlink" xfId="7850" builtinId="8" hidden="1"/>
    <cellStyle name="Hyperlink" xfId="7978" builtinId="8" hidden="1"/>
    <cellStyle name="Hyperlink" xfId="7908" builtinId="8" hidden="1"/>
    <cellStyle name="Hyperlink" xfId="7687" builtinId="8" hidden="1"/>
    <cellStyle name="Hyperlink" xfId="7300" builtinId="8" hidden="1"/>
    <cellStyle name="Hyperlink" xfId="7076" builtinId="8" hidden="1"/>
    <cellStyle name="Hyperlink" xfId="6916" builtinId="8" hidden="1"/>
    <cellStyle name="Hyperlink" xfId="6534" builtinId="8" hidden="1"/>
    <cellStyle name="Hyperlink" xfId="6308" builtinId="8" hidden="1"/>
    <cellStyle name="Hyperlink" xfId="6126" builtinId="8" hidden="1"/>
    <cellStyle name="Hyperlink" xfId="5745" builtinId="8" hidden="1"/>
    <cellStyle name="Hyperlink" xfId="5549" builtinId="8" hidden="1"/>
    <cellStyle name="Hyperlink" xfId="5357" builtinId="8" hidden="1"/>
    <cellStyle name="Hyperlink" xfId="4974" builtinId="8" hidden="1"/>
    <cellStyle name="Hyperlink" xfId="4743" builtinId="8" hidden="1"/>
    <cellStyle name="Hyperlink" xfId="4583" builtinId="8" hidden="1"/>
    <cellStyle name="Hyperlink" xfId="4206" builtinId="8" hidden="1"/>
    <cellStyle name="Hyperlink" xfId="3985" builtinId="8" hidden="1"/>
    <cellStyle name="Hyperlink" xfId="3820" builtinId="8" hidden="1"/>
    <cellStyle name="Hyperlink" xfId="3371" builtinId="8" hidden="1"/>
    <cellStyle name="Hyperlink" xfId="3214" builtinId="8" hidden="1"/>
    <cellStyle name="Hyperlink" xfId="2989" builtinId="8" hidden="1"/>
    <cellStyle name="Hyperlink" xfId="1331" builtinId="8" hidden="1"/>
    <cellStyle name="Hyperlink" xfId="1375" builtinId="8" hidden="1"/>
    <cellStyle name="Hyperlink" xfId="4707" builtinId="8" hidden="1"/>
    <cellStyle name="Hyperlink" xfId="3760" builtinId="8" hidden="1"/>
    <cellStyle name="Hyperlink" xfId="3818" builtinId="8" hidden="1"/>
    <cellStyle name="Hyperlink" xfId="3882" builtinId="8" hidden="1"/>
    <cellStyle name="Hyperlink" xfId="4005" builtinId="8" hidden="1"/>
    <cellStyle name="Hyperlink" xfId="4067" builtinId="8" hidden="1"/>
    <cellStyle name="Hyperlink" xfId="4127" builtinId="8" hidden="1"/>
    <cellStyle name="Hyperlink" xfId="4244" builtinId="8" hidden="1"/>
    <cellStyle name="Hyperlink" xfId="4306" builtinId="8" hidden="1"/>
    <cellStyle name="Hyperlink" xfId="4368" builtinId="8" hidden="1"/>
    <cellStyle name="Hyperlink" xfId="4481" builtinId="8" hidden="1"/>
    <cellStyle name="Hyperlink" xfId="4394" builtinId="8" hidden="1"/>
    <cellStyle name="Hyperlink" xfId="3276" builtinId="8" hidden="1"/>
    <cellStyle name="Hyperlink" xfId="3391" builtinId="8" hidden="1"/>
    <cellStyle name="Hyperlink" xfId="3449" builtinId="8" hidden="1"/>
    <cellStyle name="Hyperlink" xfId="3511" builtinId="8" hidden="1"/>
    <cellStyle name="Hyperlink" xfId="3626" builtinId="8" hidden="1"/>
    <cellStyle name="Hyperlink" xfId="3092" builtinId="8" hidden="1"/>
    <cellStyle name="Hyperlink" xfId="3148" builtinId="8" hidden="1"/>
    <cellStyle name="Hyperlink" xfId="3266" builtinId="8" hidden="1"/>
    <cellStyle name="Hyperlink" xfId="3039" builtinId="8" hidden="1"/>
    <cellStyle name="Hyperlink" xfId="2947" builtinId="8" hidden="1"/>
    <cellStyle name="Hyperlink" xfId="3043" builtinId="8" hidden="1"/>
    <cellStyle name="Hyperlink" xfId="3154" builtinId="8" hidden="1"/>
    <cellStyle name="Hyperlink" xfId="3574" builtinId="8" hidden="1"/>
    <cellStyle name="Hyperlink" xfId="4308" builtinId="8" hidden="1"/>
    <cellStyle name="Hyperlink" xfId="4372" builtinId="8" hidden="1"/>
    <cellStyle name="Hyperlink" xfId="4192" builtinId="8" hidden="1"/>
    <cellStyle name="Hyperlink" xfId="3824" builtinId="8" hidden="1"/>
    <cellStyle name="Hyperlink" xfId="4665" builtinId="8" hidden="1"/>
    <cellStyle name="Hyperlink" xfId="6036" builtinId="8" hidden="1"/>
    <cellStyle name="Hyperlink" xfId="6434" builtinId="8" hidden="1"/>
    <cellStyle name="Hyperlink" xfId="6238" builtinId="8" hidden="1"/>
    <cellStyle name="Hyperlink" xfId="6052" builtinId="8" hidden="1"/>
    <cellStyle name="Hyperlink" xfId="5666" builtinId="8" hidden="1"/>
    <cellStyle name="Hyperlink" xfId="5467" builtinId="8" hidden="1"/>
    <cellStyle name="Hyperlink" xfId="5271" builtinId="8" hidden="1"/>
    <cellStyle name="Hyperlink" xfId="4882" builtinId="8" hidden="1"/>
    <cellStyle name="Hyperlink" xfId="4681" builtinId="8" hidden="1"/>
    <cellStyle name="Hyperlink" xfId="6890" builtinId="8" hidden="1"/>
    <cellStyle name="Hyperlink" xfId="7236" builtinId="8" hidden="1"/>
    <cellStyle name="Hyperlink" xfId="5195" builtinId="8" hidden="1"/>
    <cellStyle name="Hyperlink" xfId="3150" builtinId="8" hidden="1"/>
    <cellStyle name="Hyperlink" xfId="2344" builtinId="8" hidden="1"/>
    <cellStyle name="Hyperlink" xfId="2621" builtinId="8" hidden="1"/>
    <cellStyle name="Hyperlink" xfId="945" builtinId="8" hidden="1"/>
    <cellStyle name="Hyperlink" xfId="55" builtinId="8" hidden="1"/>
    <cellStyle name="Hyperlink" xfId="203" builtinId="8" hidden="1"/>
    <cellStyle name="Hyperlink" xfId="481" builtinId="8" hidden="1"/>
    <cellStyle name="Hyperlink" xfId="1122" builtinId="8" hidden="1"/>
    <cellStyle name="Hyperlink" xfId="941" builtinId="8" hidden="1"/>
    <cellStyle name="Hyperlink" xfId="756" builtinId="8" hidden="1"/>
    <cellStyle name="Hyperlink" xfId="5115" builtinId="8" hidden="1"/>
    <cellStyle name="Hyperlink" xfId="4926" builtinId="8" hidden="1"/>
    <cellStyle name="Hyperlink" xfId="4719" builtinId="8" hidden="1"/>
    <cellStyle name="Hyperlink" xfId="4342" builtinId="8" hidden="1"/>
    <cellStyle name="Hyperlink" xfId="4137" builtinId="8" hidden="1"/>
    <cellStyle name="Hyperlink" xfId="3945" builtinId="8" hidden="1"/>
    <cellStyle name="Hyperlink" xfId="3555" builtinId="8" hidden="1"/>
    <cellStyle name="Hyperlink" xfId="3355" builtinId="8" hidden="1"/>
    <cellStyle name="Hyperlink" xfId="3166" builtinId="8" hidden="1"/>
    <cellStyle name="Hyperlink" xfId="1283" builtinId="8" hidden="1"/>
    <cellStyle name="Hyperlink" xfId="1337" builtinId="8" hidden="1"/>
    <cellStyle name="Hyperlink" xfId="1391" builtinId="8" hidden="1"/>
    <cellStyle name="Hyperlink" xfId="1504" builtinId="8" hidden="1"/>
    <cellStyle name="Hyperlink" xfId="1558" builtinId="8" hidden="1"/>
    <cellStyle name="Hyperlink" xfId="1612" builtinId="8" hidden="1"/>
    <cellStyle name="Hyperlink" xfId="1724" builtinId="8" hidden="1"/>
    <cellStyle name="Hyperlink" xfId="1780" builtinId="8" hidden="1"/>
    <cellStyle name="Hyperlink" xfId="1832" builtinId="8" hidden="1"/>
    <cellStyle name="Hyperlink" xfId="1944" builtinId="8" hidden="1"/>
    <cellStyle name="Hyperlink" xfId="2000" builtinId="8" hidden="1"/>
    <cellStyle name="Hyperlink" xfId="2058" builtinId="8" hidden="1"/>
    <cellStyle name="Hyperlink" xfId="2172" builtinId="8" hidden="1"/>
    <cellStyle name="Hyperlink" xfId="2228" builtinId="8" hidden="1"/>
    <cellStyle name="Hyperlink" xfId="2284" builtinId="8" hidden="1"/>
    <cellStyle name="Hyperlink" xfId="2391" builtinId="8" hidden="1"/>
    <cellStyle name="Hyperlink" xfId="2449" builtinId="8" hidden="1"/>
    <cellStyle name="Hyperlink" xfId="2503" builtinId="8" hidden="1"/>
    <cellStyle name="Hyperlink" xfId="2613" builtinId="8" hidden="1"/>
    <cellStyle name="Hyperlink" xfId="2673" builtinId="8" hidden="1"/>
    <cellStyle name="Hyperlink" xfId="2727" builtinId="8" hidden="1"/>
    <cellStyle name="Hyperlink" xfId="2841" builtinId="8" hidden="1"/>
    <cellStyle name="Hyperlink" xfId="2847" builtinId="8" hidden="1"/>
    <cellStyle name="Hyperlink" xfId="2461" builtinId="8" hidden="1"/>
    <cellStyle name="Hyperlink" xfId="1678" builtinId="8" hidden="1"/>
    <cellStyle name="Hyperlink" xfId="2765" builtinId="8" hidden="1"/>
    <cellStyle name="Hyperlink" xfId="2376" builtinId="8" hidden="1"/>
    <cellStyle name="Hyperlink" xfId="1594" builtinId="8" hidden="1"/>
    <cellStyle name="Hyperlink" xfId="3037" builtinId="8" hidden="1"/>
    <cellStyle name="Hyperlink" xfId="4406" builtinId="8" hidden="1"/>
    <cellStyle name="Hyperlink" xfId="7826" builtinId="8" hidden="1"/>
    <cellStyle name="Hyperlink" xfId="7888" builtinId="8" hidden="1"/>
    <cellStyle name="Hyperlink" xfId="7950" builtinId="8" hidden="1"/>
    <cellStyle name="Hyperlink" xfId="7796" builtinId="8" hidden="1"/>
    <cellStyle name="Hyperlink" xfId="7615" builtinId="8" hidden="1"/>
    <cellStyle name="Hyperlink" xfId="7438" builtinId="8" hidden="1"/>
    <cellStyle name="Hyperlink" xfId="7068" builtinId="8" hidden="1"/>
    <cellStyle name="Hyperlink" xfId="6892" builtinId="8" hidden="1"/>
    <cellStyle name="Hyperlink" xfId="6711" builtinId="8" hidden="1"/>
    <cellStyle name="Hyperlink" xfId="6332" builtinId="8" hidden="1"/>
    <cellStyle name="Hyperlink" xfId="6166" builtinId="8" hidden="1"/>
    <cellStyle name="Hyperlink" xfId="5982" builtinId="8" hidden="1"/>
    <cellStyle name="Hyperlink" xfId="5621" builtinId="8" hidden="1"/>
    <cellStyle name="Hyperlink" xfId="5437" builtinId="8" hidden="1"/>
    <cellStyle name="Hyperlink" xfId="5509" builtinId="8" hidden="1"/>
    <cellStyle name="Hyperlink" xfId="7262" builtinId="8" hidden="1"/>
    <cellStyle name="Hyperlink" xfId="7322" builtinId="8" hidden="1"/>
    <cellStyle name="Hyperlink" xfId="7378" builtinId="8" hidden="1"/>
    <cellStyle name="Hyperlink" xfId="7499" builtinId="8" hidden="1"/>
    <cellStyle name="Hyperlink" xfId="7561" builtinId="8" hidden="1"/>
    <cellStyle name="Hyperlink" xfId="7617" builtinId="8" hidden="1"/>
    <cellStyle name="Hyperlink" xfId="7730" builtinId="8" hidden="1"/>
    <cellStyle name="Hyperlink" xfId="6994" builtinId="8" hidden="1"/>
    <cellStyle name="Hyperlink" xfId="7054" builtinId="8" hidden="1"/>
    <cellStyle name="Hyperlink" xfId="7170" builtinId="8" hidden="1"/>
    <cellStyle name="Hyperlink" xfId="6850" builtinId="8" hidden="1"/>
    <cellStyle name="Hyperlink" xfId="6906" builtinId="8" hidden="1"/>
    <cellStyle name="Hyperlink" xfId="6832" builtinId="8" hidden="1"/>
    <cellStyle name="Hyperlink" xfId="6739" builtinId="8" hidden="1"/>
    <cellStyle name="Hyperlink" xfId="6753" builtinId="8" hidden="1"/>
    <cellStyle name="Hyperlink" xfId="6757" builtinId="8" hidden="1"/>
    <cellStyle name="Hyperlink" xfId="6824" builtinId="8" hidden="1"/>
    <cellStyle name="Hyperlink" xfId="6811" builtinId="8" hidden="1"/>
    <cellStyle name="Hyperlink" xfId="6958" builtinId="8" hidden="1"/>
    <cellStyle name="Hyperlink" xfId="6938" builtinId="8" hidden="1"/>
    <cellStyle name="Hyperlink" xfId="6918" builtinId="8" hidden="1"/>
    <cellStyle name="Hyperlink" xfId="6882" builtinId="8" hidden="1"/>
    <cellStyle name="Hyperlink" xfId="6862" builtinId="8" hidden="1"/>
    <cellStyle name="Hyperlink" xfId="7070" builtinId="8" hidden="1"/>
    <cellStyle name="Hyperlink" xfId="7182" builtinId="8" hidden="1"/>
    <cellStyle name="Hyperlink" xfId="7162" builtinId="8" hidden="1"/>
    <cellStyle name="Hyperlink" xfId="7144" builtinId="8" hidden="1"/>
    <cellStyle name="Hyperlink" xfId="7106" builtinId="8" hidden="1"/>
    <cellStyle name="Hyperlink" xfId="7088" builtinId="8" hidden="1"/>
    <cellStyle name="Hyperlink" xfId="7064" builtinId="8" hidden="1"/>
    <cellStyle name="Hyperlink" xfId="7026" builtinId="8" hidden="1"/>
    <cellStyle name="Hyperlink" xfId="7006" builtinId="8" hidden="1"/>
    <cellStyle name="Hyperlink" xfId="6990" builtinId="8" hidden="1"/>
    <cellStyle name="Hyperlink" xfId="7742" builtinId="8" hidden="1"/>
    <cellStyle name="Hyperlink" xfId="7726" builtinId="8" hidden="1"/>
    <cellStyle name="Hyperlink" xfId="7709" builtinId="8" hidden="1"/>
    <cellStyle name="Hyperlink" xfId="7669" builtinId="8" hidden="1"/>
    <cellStyle name="Hyperlink" xfId="7653" builtinId="8" hidden="1"/>
    <cellStyle name="Hyperlink" xfId="7627" builtinId="8" hidden="1"/>
    <cellStyle name="Hyperlink" xfId="7593" builtinId="8" hidden="1"/>
    <cellStyle name="Hyperlink" xfId="7571" builtinId="8" hidden="1"/>
    <cellStyle name="Hyperlink" xfId="7553" builtinId="8" hidden="1"/>
    <cellStyle name="Hyperlink" xfId="7509" builtinId="8" hidden="1"/>
    <cellStyle name="Hyperlink" xfId="7493" builtinId="8" hidden="1"/>
    <cellStyle name="Hyperlink" xfId="7474" builtinId="8" hidden="1"/>
    <cellStyle name="Hyperlink" xfId="7434" builtinId="8" hidden="1"/>
    <cellStyle name="Hyperlink" xfId="7418" builtinId="8" hidden="1"/>
    <cellStyle name="Hyperlink" xfId="7390" builtinId="8" hidden="1"/>
    <cellStyle name="Hyperlink" xfId="7354" builtinId="8" hidden="1"/>
    <cellStyle name="Hyperlink" xfId="7334" builtinId="8" hidden="1"/>
    <cellStyle name="Hyperlink" xfId="7314" builtinId="8" hidden="1"/>
    <cellStyle name="Hyperlink" xfId="7272" builtinId="8" hidden="1"/>
    <cellStyle name="Hyperlink" xfId="7256" builtinId="8" hidden="1"/>
    <cellStyle name="Hyperlink" xfId="7238" builtinId="8" hidden="1"/>
    <cellStyle name="Hyperlink" xfId="7892" builtinId="8" hidden="1"/>
    <cellStyle name="Hyperlink" xfId="7036" builtinId="8" hidden="1"/>
    <cellStyle name="Hyperlink" xfId="6022" builtinId="8" hidden="1"/>
    <cellStyle name="Hyperlink" xfId="5331" builtinId="8" hidden="1"/>
    <cellStyle name="Hyperlink" xfId="5405" builtinId="8" hidden="1"/>
    <cellStyle name="Hyperlink" xfId="5461" builtinId="8" hidden="1"/>
    <cellStyle name="Hyperlink" xfId="5589" builtinId="8" hidden="1"/>
    <cellStyle name="Hyperlink" xfId="5637" builtinId="8" hidden="1"/>
    <cellStyle name="Hyperlink" xfId="5704" builtinId="8" hidden="1"/>
    <cellStyle name="Hyperlink" xfId="5825" builtinId="8" hidden="1"/>
    <cellStyle name="Hyperlink" xfId="5889" builtinId="8" hidden="1"/>
    <cellStyle name="Hyperlink" xfId="5950" builtinId="8" hidden="1"/>
    <cellStyle name="Hyperlink" xfId="6070" builtinId="8" hidden="1"/>
    <cellStyle name="Hyperlink" xfId="6134" builtinId="8" hidden="1"/>
    <cellStyle name="Hyperlink" xfId="6182" builtinId="8" hidden="1"/>
    <cellStyle name="Hyperlink" xfId="6300" builtinId="8" hidden="1"/>
    <cellStyle name="Hyperlink" xfId="6364" builtinId="8" hidden="1"/>
    <cellStyle name="Hyperlink" xfId="6420" builtinId="8" hidden="1"/>
    <cellStyle name="Hyperlink" xfId="6550" builtinId="8" hidden="1"/>
    <cellStyle name="Hyperlink" xfId="6607" builtinId="8" hidden="1"/>
    <cellStyle name="Hyperlink" xfId="6671" builtinId="8" hidden="1"/>
    <cellStyle name="Hyperlink" xfId="6783" builtinId="8" hidden="1"/>
    <cellStyle name="Hyperlink" xfId="6844" builtinId="8" hidden="1"/>
    <cellStyle name="Hyperlink" xfId="6908" builtinId="8" hidden="1"/>
    <cellStyle name="Hyperlink" xfId="7028" builtinId="8" hidden="1"/>
    <cellStyle name="Hyperlink" xfId="7092" builtinId="8" hidden="1"/>
    <cellStyle name="Hyperlink" xfId="7148" builtinId="8" hidden="1"/>
    <cellStyle name="Hyperlink" xfId="7276" builtinId="8" hidden="1"/>
    <cellStyle name="Hyperlink" xfId="7324" builtinId="8" hidden="1"/>
    <cellStyle name="Hyperlink" xfId="7404" builtinId="8" hidden="1"/>
    <cellStyle name="Hyperlink" xfId="7511" builtinId="8" hidden="1"/>
    <cellStyle name="Hyperlink" xfId="7583" builtinId="8" hidden="1"/>
    <cellStyle name="Hyperlink" xfId="7639" builtinId="8" hidden="1"/>
    <cellStyle name="Hyperlink" xfId="7764" builtinId="8" hidden="1"/>
    <cellStyle name="Hyperlink" xfId="7820" builtinId="8" hidden="1"/>
    <cellStyle name="Hyperlink" xfId="7868" builtinId="8" hidden="1"/>
    <cellStyle name="Hyperlink" xfId="7996" builtinId="8" hidden="1"/>
    <cellStyle name="Hyperlink" xfId="7984" builtinId="8" hidden="1"/>
    <cellStyle name="Hyperlink" xfId="7960" builtinId="8" hidden="1"/>
    <cellStyle name="Hyperlink" xfId="7920" builtinId="8" hidden="1"/>
    <cellStyle name="Hyperlink" xfId="7898" builtinId="8" hidden="1"/>
    <cellStyle name="Hyperlink" xfId="7880" builtinId="8" hidden="1"/>
    <cellStyle name="Hyperlink" xfId="7838" builtinId="8" hidden="1"/>
    <cellStyle name="Hyperlink" xfId="7822" builtinId="8" hidden="1"/>
    <cellStyle name="Hyperlink" xfId="7800" builtinId="8" hidden="1"/>
    <cellStyle name="Hyperlink" xfId="7760" builtinId="8" hidden="1"/>
    <cellStyle name="Hyperlink" xfId="5171" builtinId="8" hidden="1"/>
    <cellStyle name="Hyperlink" xfId="4655" builtinId="8" hidden="1"/>
    <cellStyle name="Hyperlink" xfId="3804" builtinId="8" hidden="1"/>
    <cellStyle name="Hyperlink" xfId="4717" builtinId="8" hidden="1"/>
    <cellStyle name="Hyperlink" xfId="4705" builtinId="8" hidden="1"/>
    <cellStyle name="Hyperlink" xfId="4669" builtinId="8" hidden="1"/>
    <cellStyle name="Hyperlink" xfId="4657" builtinId="8" hidden="1"/>
    <cellStyle name="Hyperlink" xfId="4619" builtinId="8" hidden="1"/>
    <cellStyle name="Hyperlink" xfId="4595" builtinId="8" hidden="1"/>
    <cellStyle name="Hyperlink" xfId="4571" builtinId="8" hidden="1"/>
    <cellStyle name="Hyperlink" xfId="4561" builtinId="8" hidden="1"/>
    <cellStyle name="Hyperlink" xfId="6765" builtinId="8" hidden="1"/>
    <cellStyle name="Hyperlink" xfId="6848" builtinId="8" hidden="1"/>
    <cellStyle name="Hyperlink" xfId="6934" builtinId="8" hidden="1"/>
    <cellStyle name="Hyperlink" xfId="7018" builtinId="8" hidden="1"/>
    <cellStyle name="Hyperlink" xfId="7104" builtinId="8" hidden="1"/>
    <cellStyle name="Hyperlink" xfId="7146" builtinId="8" hidden="1"/>
    <cellStyle name="Hyperlink" xfId="7318" builtinId="8" hidden="1"/>
    <cellStyle name="Hyperlink" xfId="7360" builtinId="8" hidden="1"/>
    <cellStyle name="Hyperlink" xfId="7448" builtinId="8" hidden="1"/>
    <cellStyle name="Hyperlink" xfId="7533" builtinId="8" hidden="1"/>
    <cellStyle name="Hyperlink" xfId="7619" builtinId="8" hidden="1"/>
    <cellStyle name="Hyperlink" xfId="7661" builtinId="8" hidden="1"/>
    <cellStyle name="Hyperlink" xfId="7830" builtinId="8" hidden="1"/>
    <cellStyle name="Hyperlink" xfId="7872" builtinId="8" hidden="1"/>
    <cellStyle name="Hyperlink" xfId="7958" builtinId="8" hidden="1"/>
    <cellStyle name="Hyperlink" xfId="7876" builtinId="8" hidden="1"/>
    <cellStyle name="Hyperlink" xfId="7623" builtinId="8" hidden="1"/>
    <cellStyle name="Hyperlink" xfId="7364" builtinId="8" hidden="1"/>
    <cellStyle name="Hyperlink" xfId="6980" builtinId="8" hidden="1"/>
    <cellStyle name="Hyperlink" xfId="6852" builtinId="8" hidden="1"/>
    <cellStyle name="Hyperlink" xfId="6599" builtinId="8" hidden="1"/>
    <cellStyle name="Hyperlink" xfId="6340" builtinId="8" hidden="1"/>
    <cellStyle name="Hyperlink" xfId="5966" builtinId="8" hidden="1"/>
    <cellStyle name="Hyperlink" xfId="5841" builtinId="8" hidden="1"/>
    <cellStyle name="Hyperlink" xfId="5453" builtinId="8" hidden="1"/>
    <cellStyle name="Hyperlink" xfId="5323" builtinId="8" hidden="1"/>
    <cellStyle name="Hyperlink" xfId="5067" builtinId="8" hidden="1"/>
    <cellStyle name="Hyperlink" xfId="4551" builtinId="8" hidden="1"/>
    <cellStyle name="Hyperlink" xfId="4430" builtinId="8" hidden="1"/>
    <cellStyle name="Hyperlink" xfId="4302" builtinId="8" hidden="1"/>
    <cellStyle name="Hyperlink" xfId="3920" builtinId="8" hidden="1"/>
    <cellStyle name="Hyperlink" xfId="3788" builtinId="8" hidden="1"/>
    <cellStyle name="Hyperlink" xfId="3531" builtinId="8" hidden="1"/>
    <cellStyle name="Hyperlink" xfId="3021" builtinId="8" hidden="1"/>
    <cellStyle name="Hyperlink" xfId="1246" builtinId="8" hidden="1"/>
    <cellStyle name="Hyperlink" xfId="1285" builtinId="8" hidden="1"/>
    <cellStyle name="Hyperlink" xfId="1395" builtinId="8" hidden="1"/>
    <cellStyle name="Hyperlink" xfId="1431" builtinId="8" hidden="1"/>
    <cellStyle name="Hyperlink" xfId="1538" builtinId="8" hidden="1"/>
    <cellStyle name="Hyperlink" xfId="1648" builtinId="8" hidden="1"/>
    <cellStyle name="Hyperlink" xfId="1684" builtinId="8" hidden="1"/>
    <cellStyle name="Hyperlink" xfId="1720" builtinId="8" hidden="1"/>
    <cellStyle name="Hyperlink" xfId="1828" builtinId="8" hidden="1"/>
    <cellStyle name="Hyperlink" xfId="1938" builtinId="8" hidden="1"/>
    <cellStyle name="Hyperlink" xfId="1974" builtinId="8" hidden="1"/>
    <cellStyle name="Hyperlink" xfId="2087" builtinId="8" hidden="1"/>
    <cellStyle name="Hyperlink" xfId="2123" builtinId="8" hidden="1"/>
    <cellStyle name="Hyperlink" xfId="2162" builtinId="8" hidden="1"/>
    <cellStyle name="Hyperlink" xfId="2308" builtinId="8" hidden="1"/>
    <cellStyle name="Hyperlink" xfId="2380" builtinId="8" hidden="1"/>
    <cellStyle name="Hyperlink" xfId="2415" builtinId="8" hidden="1"/>
    <cellStyle name="Hyperlink" xfId="2523" builtinId="8" hidden="1"/>
    <cellStyle name="Hyperlink" xfId="2561" builtinId="8" hidden="1"/>
    <cellStyle name="Hyperlink" xfId="2597" builtinId="8" hidden="1"/>
    <cellStyle name="Hyperlink" xfId="2743" builtinId="8" hidden="1"/>
    <cellStyle name="Hyperlink" xfId="2819" builtinId="8" hidden="1"/>
    <cellStyle name="Hyperlink" xfId="2855" builtinId="8" hidden="1"/>
    <cellStyle name="Hyperlink" xfId="2368" builtinId="8" hidden="1"/>
    <cellStyle name="Hyperlink" xfId="2111" builtinId="8" hidden="1"/>
    <cellStyle name="Hyperlink" xfId="1345" builtinId="8" hidden="1"/>
    <cellStyle name="Hyperlink" xfId="634" builtinId="8" hidden="1"/>
    <cellStyle name="Hyperlink" xfId="702" builtinId="8" hidden="1"/>
    <cellStyle name="Hyperlink" xfId="736" builtinId="8" hidden="1"/>
    <cellStyle name="Hyperlink" xfId="838" builtinId="8" hidden="1"/>
    <cellStyle name="Hyperlink" xfId="911" builtinId="8" hidden="1"/>
    <cellStyle name="Hyperlink" xfId="980" builtinId="8" hidden="1"/>
    <cellStyle name="Hyperlink" xfId="1048" builtinId="8" hidden="1"/>
    <cellStyle name="Hyperlink" xfId="1116" builtinId="8" hidden="1"/>
    <cellStyle name="Hyperlink" xfId="1150" builtinId="8" hidden="1"/>
    <cellStyle name="Hyperlink" xfId="281" builtinId="8" hidden="1"/>
    <cellStyle name="Hyperlink" xfId="318" builtinId="8" hidden="1"/>
    <cellStyle name="Hyperlink" xfId="385" builtinId="8" hidden="1"/>
    <cellStyle name="Hyperlink" xfId="451" builtinId="8" hidden="1"/>
    <cellStyle name="Hyperlink" xfId="517" builtinId="8" hidden="1"/>
    <cellStyle name="Hyperlink" xfId="551" builtinId="8" hidden="1"/>
    <cellStyle name="Hyperlink" xfId="229" builtinId="8" hidden="1"/>
    <cellStyle name="Hyperlink" xfId="261" builtinId="8" hidden="1"/>
    <cellStyle name="Hyperlink" xfId="113" builtinId="8" hidden="1"/>
    <cellStyle name="Hyperlink" xfId="19" builtinId="8" hidden="1"/>
    <cellStyle name="Hyperlink" xfId="13" builtinId="8" hidden="1"/>
    <cellStyle name="Hyperlink" xfId="65" builtinId="8" hidden="1"/>
    <cellStyle name="Hyperlink" xfId="33" builtinId="8" hidden="1"/>
    <cellStyle name="Hyperlink" xfId="131" builtinId="8" hidden="1"/>
    <cellStyle name="Hyperlink" xfId="109" builtinId="8" hidden="1"/>
    <cellStyle name="Hyperlink" xfId="87" builtinId="8" hidden="1"/>
    <cellStyle name="Hyperlink" xfId="267" builtinId="8" hidden="1"/>
    <cellStyle name="Hyperlink" xfId="257" builtinId="8" hidden="1"/>
    <cellStyle name="Hyperlink" xfId="225" builtinId="8" hidden="1"/>
    <cellStyle name="Hyperlink" xfId="215" builtinId="8" hidden="1"/>
    <cellStyle name="Hyperlink" xfId="191" builtinId="8" hidden="1"/>
    <cellStyle name="Hyperlink" xfId="149" builtinId="8" hidden="1"/>
    <cellStyle name="Hyperlink" xfId="330" builtinId="8" hidden="1"/>
    <cellStyle name="Hyperlink" xfId="579" builtinId="8" hidden="1"/>
    <cellStyle name="Hyperlink" xfId="547" builtinId="8" hidden="1"/>
    <cellStyle name="Hyperlink" xfId="537" builtinId="8" hidden="1"/>
    <cellStyle name="Hyperlink" xfId="513" builtinId="8" hidden="1"/>
    <cellStyle name="Hyperlink" xfId="471" builtinId="8" hidden="1"/>
    <cellStyle name="Hyperlink" xfId="457" builtinId="8" hidden="1"/>
    <cellStyle name="Hyperlink" xfId="447" builtinId="8" hidden="1"/>
    <cellStyle name="Hyperlink" xfId="415" builtinId="8" hidden="1"/>
    <cellStyle name="Hyperlink" xfId="405" builtinId="8" hidden="1"/>
    <cellStyle name="Hyperlink" xfId="370" builtinId="8" hidden="1"/>
    <cellStyle name="Hyperlink" xfId="338" builtinId="8" hidden="1"/>
    <cellStyle name="Hyperlink" xfId="324" builtinId="8" hidden="1"/>
    <cellStyle name="Hyperlink" xfId="314" builtinId="8" hidden="1"/>
    <cellStyle name="Hyperlink" xfId="616" builtinId="8" hidden="1"/>
    <cellStyle name="Hyperlink" xfId="1132" builtinId="8" hidden="1"/>
    <cellStyle name="Hyperlink" xfId="1242" builtinId="8" hidden="1"/>
    <cellStyle name="Hyperlink" xfId="1208" builtinId="8" hidden="1"/>
    <cellStyle name="Hyperlink" xfId="1190" builtinId="8" hidden="1"/>
    <cellStyle name="Hyperlink" xfId="1180" builtinId="8" hidden="1"/>
    <cellStyle name="Hyperlink" xfId="1136" builtinId="8" hidden="1"/>
    <cellStyle name="Hyperlink" xfId="1112" builtinId="8" hidden="1"/>
    <cellStyle name="Hyperlink" xfId="1102" builtinId="8" hidden="1"/>
    <cellStyle name="Hyperlink" xfId="1066" builtinId="8" hidden="1"/>
    <cellStyle name="Hyperlink" xfId="1054" builtinId="8" hidden="1"/>
    <cellStyle name="Hyperlink" xfId="1044" builtinId="8" hidden="1"/>
    <cellStyle name="Hyperlink" xfId="998" builtinId="8" hidden="1"/>
    <cellStyle name="Hyperlink" xfId="976" builtinId="8" hidden="1"/>
    <cellStyle name="Hyperlink" xfId="963" builtinId="8" hidden="1"/>
    <cellStyle name="Hyperlink" xfId="929" builtinId="8" hidden="1"/>
    <cellStyle name="Hyperlink" xfId="917" builtinId="8" hidden="1"/>
    <cellStyle name="Hyperlink" xfId="880" builtinId="8" hidden="1"/>
    <cellStyle name="Hyperlink" xfId="858" builtinId="8" hidden="1"/>
    <cellStyle name="Hyperlink" xfId="834" builtinId="8" hidden="1"/>
    <cellStyle name="Hyperlink" xfId="824" builtinId="8" hidden="1"/>
    <cellStyle name="Hyperlink" xfId="790" builtinId="8" hidden="1"/>
    <cellStyle name="Hyperlink" xfId="766" builtinId="8" hidden="1"/>
    <cellStyle name="Hyperlink" xfId="742" builtinId="8" hidden="1"/>
    <cellStyle name="Hyperlink" xfId="722" builtinId="8" hidden="1"/>
    <cellStyle name="Hyperlink" xfId="698" builtinId="8" hidden="1"/>
    <cellStyle name="Hyperlink" xfId="688" builtinId="8" hidden="1"/>
    <cellStyle name="Hyperlink" xfId="640" builtinId="8" hidden="1"/>
    <cellStyle name="Hyperlink" xfId="630" builtinId="8" hidden="1"/>
    <cellStyle name="Hyperlink" xfId="606" builtinId="8" hidden="1"/>
    <cellStyle name="Hyperlink" xfId="589" builtinId="8" hidden="1"/>
    <cellStyle name="Hyperlink" xfId="1377" builtinId="8" hidden="1"/>
    <cellStyle name="Hyperlink" xfId="1457" builtinId="8" hidden="1"/>
    <cellStyle name="Hyperlink" xfId="5235" builtinId="8" hidden="1"/>
    <cellStyle name="Hyperlink" xfId="5219" builtinId="8" hidden="1"/>
    <cellStyle name="Hyperlink" xfId="5203" builtinId="8" hidden="1"/>
    <cellStyle name="Hyperlink" xfId="5179" builtinId="8" hidden="1"/>
    <cellStyle name="Hyperlink" xfId="5147" builtinId="8" hidden="1"/>
    <cellStyle name="Hyperlink" xfId="5123" builtinId="8" hidden="1"/>
    <cellStyle name="Hyperlink" xfId="5091" builtinId="8" hidden="1"/>
    <cellStyle name="Hyperlink" xfId="5075" builtinId="8" hidden="1"/>
    <cellStyle name="Hyperlink" xfId="4754" builtinId="8" hidden="1"/>
    <cellStyle name="Hyperlink" xfId="5030" builtinId="8" hidden="1"/>
    <cellStyle name="Hyperlink" xfId="4990" builtinId="8" hidden="1"/>
    <cellStyle name="Hyperlink" xfId="4982" builtinId="8" hidden="1"/>
    <cellStyle name="Hyperlink" xfId="4950" builtinId="8" hidden="1"/>
    <cellStyle name="Hyperlink" xfId="4934" builtinId="8" hidden="1"/>
    <cellStyle name="Hyperlink" xfId="4902" builtinId="8" hidden="1"/>
    <cellStyle name="Hyperlink" xfId="4862" builtinId="8" hidden="1"/>
    <cellStyle name="Hyperlink" xfId="4854" builtinId="8" hidden="1"/>
    <cellStyle name="Hyperlink" xfId="4838" builtinId="8" hidden="1"/>
    <cellStyle name="Hyperlink" xfId="4797" builtinId="8" hidden="1"/>
    <cellStyle name="Hyperlink" xfId="4789" builtinId="8" hidden="1"/>
    <cellStyle name="Hyperlink" xfId="4765" builtinId="8" hidden="1"/>
    <cellStyle name="Hyperlink" xfId="4703" builtinId="8" hidden="1"/>
    <cellStyle name="Hyperlink" xfId="4695" builtinId="8" hidden="1"/>
    <cellStyle name="Hyperlink" xfId="4687" builtinId="8" hidden="1"/>
    <cellStyle name="Hyperlink" xfId="4639" builtinId="8" hidden="1"/>
    <cellStyle name="Hyperlink" xfId="4631" builtinId="8" hidden="1"/>
    <cellStyle name="Hyperlink" xfId="4599" builtinId="8" hidden="1"/>
    <cellStyle name="Hyperlink" xfId="4559" builtinId="8" hidden="1"/>
    <cellStyle name="Hyperlink" xfId="4543" builtinId="8" hidden="1"/>
    <cellStyle name="Hyperlink" xfId="4535" builtinId="8" hidden="1"/>
    <cellStyle name="Hyperlink" xfId="4501" builtinId="8" hidden="1"/>
    <cellStyle name="Hyperlink" xfId="4461" builtinId="8" hidden="1"/>
    <cellStyle name="Hyperlink" xfId="4454" builtinId="8" hidden="1"/>
    <cellStyle name="Hyperlink" xfId="4422" builtinId="8" hidden="1"/>
    <cellStyle name="Hyperlink" xfId="4414" builtinId="8" hidden="1"/>
    <cellStyle name="Hyperlink" xfId="4390" builtinId="8" hidden="1"/>
    <cellStyle name="Hyperlink" xfId="4350" builtinId="8" hidden="1"/>
    <cellStyle name="Hyperlink" xfId="4326" builtinId="8" hidden="1"/>
    <cellStyle name="Hyperlink" xfId="4310" builtinId="8" hidden="1"/>
    <cellStyle name="Hyperlink" xfId="4278" builtinId="8" hidden="1"/>
    <cellStyle name="Hyperlink" xfId="4262" builtinId="8" hidden="1"/>
    <cellStyle name="Hyperlink" xfId="4254" builtinId="8" hidden="1"/>
    <cellStyle name="Hyperlink" xfId="4198" builtinId="8" hidden="1"/>
    <cellStyle name="Hyperlink" xfId="4182" builtinId="8" hidden="1"/>
    <cellStyle name="Hyperlink" xfId="3869" builtinId="8" hidden="1"/>
    <cellStyle name="Hyperlink" xfId="4129" builtinId="8" hidden="1"/>
    <cellStyle name="Hyperlink" xfId="4121" builtinId="8" hidden="1"/>
    <cellStyle name="Hyperlink" xfId="4089" builtinId="8" hidden="1"/>
    <cellStyle name="Hyperlink" xfId="4057" builtinId="8" hidden="1"/>
    <cellStyle name="Hyperlink" xfId="4033" builtinId="8" hidden="1"/>
    <cellStyle name="Hyperlink" xfId="4025" builtinId="8" hidden="1"/>
    <cellStyle name="Hyperlink" xfId="3993" builtinId="8" hidden="1"/>
    <cellStyle name="Hyperlink" xfId="3961" builtinId="8" hidden="1"/>
    <cellStyle name="Hyperlink" xfId="3936" builtinId="8" hidden="1"/>
    <cellStyle name="Hyperlink" xfId="3912" builtinId="8" hidden="1"/>
    <cellStyle name="Hyperlink" xfId="3880" builtinId="8" hidden="1"/>
    <cellStyle name="Hyperlink" xfId="3872" builtinId="8" hidden="1"/>
    <cellStyle name="Hyperlink" xfId="3828" builtinId="8" hidden="1"/>
    <cellStyle name="Hyperlink" xfId="3812" builtinId="8" hidden="1"/>
    <cellStyle name="Hyperlink" xfId="3780" builtinId="8" hidden="1"/>
    <cellStyle name="Hyperlink" xfId="3764" builtinId="8" hidden="1"/>
    <cellStyle name="Hyperlink" xfId="3740" builtinId="8" hidden="1"/>
    <cellStyle name="Hyperlink" xfId="3732" builtinId="8" hidden="1"/>
    <cellStyle name="Hyperlink" xfId="3676" builtinId="8" hidden="1"/>
    <cellStyle name="Hyperlink" xfId="3668" builtinId="8" hidden="1"/>
    <cellStyle name="Hyperlink" xfId="3644" builtinId="8" hidden="1"/>
    <cellStyle name="Hyperlink" xfId="3612" builtinId="8" hidden="1"/>
    <cellStyle name="Hyperlink" xfId="3588" builtinId="8" hidden="1"/>
    <cellStyle name="Hyperlink" xfId="3572" builtinId="8" hidden="1"/>
    <cellStyle name="Hyperlink" xfId="3523" builtinId="8" hidden="1"/>
    <cellStyle name="Hyperlink" xfId="3515" builtinId="8" hidden="1"/>
    <cellStyle name="Hyperlink" xfId="3491" builtinId="8" hidden="1"/>
    <cellStyle name="Hyperlink" xfId="3475" builtinId="8" hidden="1"/>
    <cellStyle name="Hyperlink" xfId="3427" builtinId="8" hidden="1"/>
    <cellStyle name="Hyperlink" xfId="3419" builtinId="8" hidden="1"/>
    <cellStyle name="Hyperlink" xfId="3387" builtinId="8" hidden="1"/>
    <cellStyle name="Hyperlink" xfId="3363" builtinId="8" hidden="1"/>
    <cellStyle name="Hyperlink" xfId="3347" builtinId="8" hidden="1"/>
    <cellStyle name="Hyperlink" xfId="3299" builtinId="8" hidden="1"/>
    <cellStyle name="Hyperlink" xfId="3283" builtinId="8" hidden="1"/>
    <cellStyle name="Hyperlink" xfId="3270" builtinId="8" hidden="1"/>
    <cellStyle name="Hyperlink" xfId="3238" builtinId="8" hidden="1"/>
    <cellStyle name="Hyperlink" xfId="3230" builtinId="8" hidden="1"/>
    <cellStyle name="Hyperlink" xfId="3198" builtinId="8" hidden="1"/>
    <cellStyle name="Hyperlink" xfId="3158" builtinId="8" hidden="1"/>
    <cellStyle name="Hyperlink" xfId="3142" builtinId="8" hidden="1"/>
    <cellStyle name="Hyperlink" xfId="3134" builtinId="8" hidden="1"/>
    <cellStyle name="Hyperlink" xfId="3094" builtinId="8" hidden="1"/>
    <cellStyle name="Hyperlink" xfId="3078" builtinId="8" hidden="1"/>
    <cellStyle name="Hyperlink" xfId="3045" builtinId="8" hidden="1"/>
    <cellStyle name="Hyperlink" xfId="3005" builtinId="8" hidden="1"/>
    <cellStyle name="Hyperlink" xfId="2997" builtinId="8" hidden="1"/>
    <cellStyle name="Hyperlink" xfId="2981" builtinId="8" hidden="1"/>
    <cellStyle name="Hyperlink" xfId="2935" builtinId="8" hidden="1"/>
    <cellStyle name="Hyperlink" xfId="2903" builtinId="8" hidden="1"/>
    <cellStyle name="Hyperlink" xfId="2895" builtinId="8" hidden="1"/>
    <cellStyle name="Hyperlink" xfId="1258" builtinId="8" hidden="1"/>
    <cellStyle name="Hyperlink" xfId="1260" builtinId="8" hidden="1"/>
    <cellStyle name="Hyperlink" xfId="1262" builtinId="8" hidden="1"/>
    <cellStyle name="Hyperlink" xfId="1277" builtinId="8" hidden="1"/>
    <cellStyle name="Hyperlink" xfId="1287" builtinId="8" hidden="1"/>
    <cellStyle name="Hyperlink" xfId="1289" builtinId="8" hidden="1"/>
    <cellStyle name="Hyperlink" xfId="1299" builtinId="8" hidden="1"/>
    <cellStyle name="Hyperlink" xfId="1301" builtinId="8" hidden="1"/>
    <cellStyle name="Hyperlink" xfId="1307" builtinId="8" hidden="1"/>
    <cellStyle name="Hyperlink" xfId="1319" builtinId="8" hidden="1"/>
    <cellStyle name="Hyperlink" xfId="1325" builtinId="8" hidden="1"/>
    <cellStyle name="Hyperlink" xfId="1333" builtinId="8" hidden="1"/>
    <cellStyle name="Hyperlink" xfId="1341" builtinId="8" hidden="1"/>
    <cellStyle name="Hyperlink" xfId="1343" builtinId="8" hidden="1"/>
    <cellStyle name="Hyperlink" xfId="1355" builtinId="8" hidden="1"/>
    <cellStyle name="Hyperlink" xfId="1363" builtinId="8" hidden="1"/>
    <cellStyle name="Hyperlink" xfId="1369" builtinId="8" hidden="1"/>
    <cellStyle name="Hyperlink" xfId="1371" builtinId="8" hidden="1"/>
    <cellStyle name="Hyperlink" xfId="1383" builtinId="8" hidden="1"/>
    <cellStyle name="Hyperlink" xfId="1389" builtinId="8" hidden="1"/>
    <cellStyle name="Hyperlink" xfId="1397" builtinId="8" hidden="1"/>
    <cellStyle name="Hyperlink" xfId="1405" builtinId="8" hidden="1"/>
    <cellStyle name="Hyperlink" xfId="1411" builtinId="8" hidden="1"/>
    <cellStyle name="Hyperlink" xfId="1415" builtinId="8" hidden="1"/>
    <cellStyle name="Hyperlink" xfId="1429" builtinId="8" hidden="1"/>
    <cellStyle name="Hyperlink" xfId="1433" builtinId="8" hidden="1"/>
    <cellStyle name="Hyperlink" xfId="1437" builtinId="8" hidden="1"/>
    <cellStyle name="Hyperlink" xfId="1445" builtinId="8" hidden="1"/>
    <cellStyle name="Hyperlink" xfId="1453" builtinId="8" hidden="1"/>
    <cellStyle name="Hyperlink" xfId="1455" builtinId="8" hidden="1"/>
    <cellStyle name="Hyperlink" xfId="1469" builtinId="8" hidden="1"/>
    <cellStyle name="Hyperlink" xfId="1471" builtinId="8" hidden="1"/>
    <cellStyle name="Hyperlink" xfId="1481" builtinId="8" hidden="1"/>
    <cellStyle name="Hyperlink" xfId="1487" builtinId="8" hidden="1"/>
    <cellStyle name="Hyperlink" xfId="1493" builtinId="8" hidden="1"/>
    <cellStyle name="Hyperlink" xfId="1498" builtinId="8" hidden="1"/>
    <cellStyle name="Hyperlink" xfId="1508" builtinId="8" hidden="1"/>
    <cellStyle name="Hyperlink" xfId="1512" builtinId="8" hidden="1"/>
    <cellStyle name="Hyperlink" xfId="1516" builtinId="8" hidden="1"/>
    <cellStyle name="Hyperlink" xfId="1526" builtinId="8" hidden="1"/>
    <cellStyle name="Hyperlink" xfId="1536" builtinId="8" hidden="1"/>
    <cellStyle name="Hyperlink" xfId="1540" builtinId="8" hidden="1"/>
    <cellStyle name="Hyperlink" xfId="1552" builtinId="8" hidden="1"/>
    <cellStyle name="Hyperlink" xfId="1554" builtinId="8" hidden="1"/>
    <cellStyle name="Hyperlink" xfId="1560" builtinId="8" hidden="1"/>
    <cellStyle name="Hyperlink" xfId="1576" builtinId="8" hidden="1"/>
    <cellStyle name="Hyperlink" xfId="1578" builtinId="8" hidden="1"/>
    <cellStyle name="Hyperlink" xfId="1580" builtinId="8" hidden="1"/>
    <cellStyle name="Hyperlink" xfId="1590" builtinId="8" hidden="1"/>
    <cellStyle name="Hyperlink" xfId="1596" builtinId="8" hidden="1"/>
    <cellStyle name="Hyperlink" xfId="1604" builtinId="8" hidden="1"/>
    <cellStyle name="Hyperlink" xfId="1616" builtinId="8" hidden="1"/>
    <cellStyle name="Hyperlink" xfId="1622" builtinId="8" hidden="1"/>
    <cellStyle name="Hyperlink" xfId="1624" builtinId="8" hidden="1"/>
    <cellStyle name="Hyperlink" xfId="1634" builtinId="8" hidden="1"/>
    <cellStyle name="Hyperlink" xfId="1636" builtinId="8" hidden="1"/>
    <cellStyle name="Hyperlink" xfId="1650" builtinId="8" hidden="1"/>
    <cellStyle name="Hyperlink" xfId="1658" builtinId="8" hidden="1"/>
    <cellStyle name="Hyperlink" xfId="1660" builtinId="8" hidden="1"/>
    <cellStyle name="Hyperlink" xfId="1664" builtinId="8" hidden="1"/>
    <cellStyle name="Hyperlink" xfId="1676" builtinId="8" hidden="1"/>
    <cellStyle name="Hyperlink" xfId="1686" builtinId="8" hidden="1"/>
    <cellStyle name="Hyperlink" xfId="1688" builtinId="8" hidden="1"/>
    <cellStyle name="Hyperlink" xfId="1700" builtinId="8" hidden="1"/>
    <cellStyle name="Hyperlink" xfId="1704" builtinId="8" hidden="1"/>
    <cellStyle name="Hyperlink" xfId="1706" builtinId="8" hidden="1"/>
    <cellStyle name="Hyperlink" xfId="1722" builtinId="8" hidden="1"/>
    <cellStyle name="Hyperlink" xfId="1728" builtinId="8" hidden="1"/>
    <cellStyle name="Hyperlink" xfId="1732" builtinId="8" hidden="1"/>
    <cellStyle name="Hyperlink" xfId="1744" builtinId="8" hidden="1"/>
    <cellStyle name="Hyperlink" xfId="1746" builtinId="8" hidden="1"/>
    <cellStyle name="Hyperlink" xfId="1750" builtinId="8" hidden="1"/>
    <cellStyle name="Hyperlink" xfId="1762" builtinId="8" hidden="1"/>
    <cellStyle name="Hyperlink" xfId="1770" builtinId="8" hidden="1"/>
    <cellStyle name="Hyperlink" xfId="1772" builtinId="8" hidden="1"/>
    <cellStyle name="Hyperlink" xfId="1782" builtinId="8" hidden="1"/>
    <cellStyle name="Hyperlink" xfId="1786" builtinId="8" hidden="1"/>
    <cellStyle name="Hyperlink" xfId="1796" builtinId="8" hidden="1"/>
    <cellStyle name="Hyperlink" xfId="1802" builtinId="8" hidden="1"/>
    <cellStyle name="Hyperlink" xfId="1808" builtinId="8" hidden="1"/>
    <cellStyle name="Hyperlink" xfId="1814" builtinId="8" hidden="1"/>
    <cellStyle name="Hyperlink" xfId="1824" builtinId="8" hidden="1"/>
    <cellStyle name="Hyperlink" xfId="1830" builtinId="8" hidden="1"/>
    <cellStyle name="Hyperlink" xfId="1840" builtinId="8" hidden="1"/>
    <cellStyle name="Hyperlink" xfId="1844" builtinId="8" hidden="1"/>
    <cellStyle name="Hyperlink" xfId="1850" builtinId="8" hidden="1"/>
    <cellStyle name="Hyperlink" xfId="1854" builtinId="8" hidden="1"/>
    <cellStyle name="Hyperlink" xfId="1870" builtinId="8" hidden="1"/>
    <cellStyle name="Hyperlink" xfId="1872" builtinId="8" hidden="1"/>
    <cellStyle name="Hyperlink" xfId="1878" builtinId="8" hidden="1"/>
    <cellStyle name="Hyperlink" xfId="1888" builtinId="8" hidden="1"/>
    <cellStyle name="Hyperlink" xfId="1894" builtinId="8" hidden="1"/>
    <cellStyle name="Hyperlink" xfId="1896" builtinId="8" hidden="1"/>
    <cellStyle name="Hyperlink" xfId="1912" builtinId="8" hidden="1"/>
    <cellStyle name="Hyperlink" xfId="1914" builtinId="8" hidden="1"/>
    <cellStyle name="Hyperlink" xfId="1922" builtinId="8" hidden="1"/>
    <cellStyle name="Hyperlink" xfId="1926" builtinId="8" hidden="1"/>
    <cellStyle name="Hyperlink" xfId="1936" builtinId="8" hidden="1"/>
    <cellStyle name="Hyperlink" xfId="1942" builtinId="8" hidden="1"/>
    <cellStyle name="Hyperlink" xfId="1952" builtinId="8" hidden="1"/>
    <cellStyle name="Hyperlink" xfId="1954" builtinId="8" hidden="1"/>
    <cellStyle name="Hyperlink" xfId="1962" builtinId="8" hidden="1"/>
    <cellStyle name="Hyperlink" xfId="1970" builtinId="8" hidden="1"/>
    <cellStyle name="Hyperlink" xfId="1978" builtinId="8" hidden="1"/>
    <cellStyle name="Hyperlink" xfId="1986" builtinId="8" hidden="1"/>
    <cellStyle name="Hyperlink" xfId="1994" builtinId="8" hidden="1"/>
    <cellStyle name="Hyperlink" xfId="1998" builtinId="8" hidden="1"/>
    <cellStyle name="Hyperlink" xfId="2004" builtinId="8" hidden="1"/>
    <cellStyle name="Hyperlink" xfId="2018" builtinId="8" hidden="1"/>
    <cellStyle name="Hyperlink" xfId="2022" builtinId="8" hidden="1"/>
    <cellStyle name="Hyperlink" xfId="2024" builtinId="8" hidden="1"/>
    <cellStyle name="Hyperlink" xfId="2036" builtinId="8" hidden="1"/>
    <cellStyle name="Hyperlink" xfId="2040" builtinId="8" hidden="1"/>
    <cellStyle name="Hyperlink" xfId="2046" builtinId="8" hidden="1"/>
    <cellStyle name="Hyperlink" xfId="2062" builtinId="8" hidden="1"/>
    <cellStyle name="Hyperlink" xfId="2064" builtinId="8" hidden="1"/>
    <cellStyle name="Hyperlink" xfId="2068" builtinId="8" hidden="1"/>
    <cellStyle name="Hyperlink" xfId="2078" builtinId="8" hidden="1"/>
    <cellStyle name="Hyperlink" xfId="2082" builtinId="8" hidden="1"/>
    <cellStyle name="Hyperlink" xfId="2093" builtinId="8" hidden="1"/>
    <cellStyle name="Hyperlink" xfId="2103" builtinId="8" hidden="1"/>
    <cellStyle name="Hyperlink" xfId="2109" builtinId="8" hidden="1"/>
    <cellStyle name="Hyperlink" xfId="2113" builtinId="8" hidden="1"/>
    <cellStyle name="Hyperlink" xfId="2121" builtinId="8" hidden="1"/>
    <cellStyle name="Hyperlink" xfId="2135" builtinId="8" hidden="1"/>
    <cellStyle name="Hyperlink" xfId="2137" builtinId="8" hidden="1"/>
    <cellStyle name="Hyperlink" xfId="2147" builtinId="8" hidden="1"/>
    <cellStyle name="Hyperlink" xfId="2149" builtinId="8" hidden="1"/>
    <cellStyle name="Hyperlink" xfId="2153" builtinId="8" hidden="1"/>
    <cellStyle name="Hyperlink" xfId="2168" builtinId="8" hidden="1"/>
    <cellStyle name="Hyperlink" xfId="2174" builtinId="8" hidden="1"/>
    <cellStyle name="Hyperlink" xfId="2178" builtinId="8" hidden="1"/>
    <cellStyle name="Hyperlink" xfId="2190" builtinId="8" hidden="1"/>
    <cellStyle name="Hyperlink" xfId="2194" builtinId="8" hidden="1"/>
    <cellStyle name="Hyperlink" xfId="2196" builtinId="8" hidden="1"/>
    <cellStyle name="Hyperlink" xfId="2212" builtinId="8" hidden="1"/>
    <cellStyle name="Hyperlink" xfId="2218" builtinId="8" hidden="1"/>
    <cellStyle name="Hyperlink" xfId="2220" builtinId="8" hidden="1"/>
    <cellStyle name="Hyperlink" xfId="2232" builtinId="8" hidden="1"/>
    <cellStyle name="Hyperlink" xfId="2236" builtinId="8" hidden="1"/>
    <cellStyle name="Hyperlink" xfId="2246" builtinId="8" hidden="1"/>
    <cellStyle name="Hyperlink" xfId="2250" builtinId="8" hidden="1"/>
    <cellStyle name="Hyperlink" xfId="2260" builtinId="8" hidden="1"/>
    <cellStyle name="Hyperlink" xfId="2264" builtinId="8" hidden="1"/>
    <cellStyle name="Hyperlink" xfId="2274" builtinId="8" hidden="1"/>
    <cellStyle name="Hyperlink" xfId="2282" builtinId="8" hidden="1"/>
    <cellStyle name="Hyperlink" xfId="2286" builtinId="8" hidden="1"/>
    <cellStyle name="Hyperlink" xfId="2294" builtinId="8" hidden="1"/>
    <cellStyle name="Hyperlink" xfId="2300" builtinId="8" hidden="1"/>
    <cellStyle name="Hyperlink" xfId="2306" builtinId="8" hidden="1"/>
    <cellStyle name="Hyperlink" xfId="2318" builtinId="8" hidden="1"/>
    <cellStyle name="Hyperlink" xfId="2322" builtinId="8" hidden="1"/>
    <cellStyle name="Hyperlink" xfId="2330" builtinId="8" hidden="1"/>
    <cellStyle name="Hyperlink" xfId="2338" builtinId="8" hidden="1"/>
    <cellStyle name="Hyperlink" xfId="2342" builtinId="8" hidden="1"/>
    <cellStyle name="Hyperlink" xfId="2346" builtinId="8" hidden="1"/>
    <cellStyle name="Hyperlink" xfId="2360" builtinId="8" hidden="1"/>
    <cellStyle name="Hyperlink" xfId="2364" builtinId="8" hidden="1"/>
    <cellStyle name="Hyperlink" xfId="2370" builtinId="8" hidden="1"/>
    <cellStyle name="Hyperlink" xfId="2378" builtinId="8" hidden="1"/>
    <cellStyle name="Hyperlink" xfId="2383" builtinId="8" hidden="1"/>
    <cellStyle name="Hyperlink" xfId="2389" builtinId="8" hidden="1"/>
    <cellStyle name="Hyperlink" xfId="2401" builtinId="8" hidden="1"/>
    <cellStyle name="Hyperlink" xfId="2403" builtinId="8" hidden="1"/>
    <cellStyle name="Hyperlink" xfId="2409" builtinId="8" hidden="1"/>
    <cellStyle name="Hyperlink" xfId="2417" builtinId="8" hidden="1"/>
    <cellStyle name="Hyperlink" xfId="2427" builtinId="8" hidden="1"/>
    <cellStyle name="Hyperlink" xfId="2431" builtinId="8" hidden="1"/>
    <cellStyle name="Hyperlink" xfId="2439" builtinId="8" hidden="1"/>
    <cellStyle name="Hyperlink" xfId="2443" builtinId="8" hidden="1"/>
    <cellStyle name="Hyperlink" xfId="2453" builtinId="8" hidden="1"/>
    <cellStyle name="Hyperlink" xfId="2465" builtinId="8" hidden="1"/>
    <cellStyle name="Hyperlink" xfId="2467" builtinId="8" hidden="1"/>
    <cellStyle name="Hyperlink" xfId="2473" builtinId="8" hidden="1"/>
    <cellStyle name="Hyperlink" xfId="2483" builtinId="8" hidden="1"/>
    <cellStyle name="Hyperlink" xfId="2485" builtinId="8" hidden="1"/>
    <cellStyle name="Hyperlink" xfId="2491" builtinId="8" hidden="1"/>
    <cellStyle name="Hyperlink" xfId="2507" builtinId="8" hidden="1"/>
    <cellStyle name="Hyperlink" xfId="2511" builtinId="8" hidden="1"/>
    <cellStyle name="Hyperlink" xfId="2513" builtinId="8" hidden="1"/>
    <cellStyle name="Hyperlink" xfId="2527" builtinId="8" hidden="1"/>
    <cellStyle name="Hyperlink" xfId="2529" builtinId="8" hidden="1"/>
    <cellStyle name="Hyperlink" xfId="2537" builtinId="8" hidden="1"/>
    <cellStyle name="Hyperlink" xfId="2549" builtinId="8" hidden="1"/>
    <cellStyle name="Hyperlink" xfId="2553" builtinId="8" hidden="1"/>
    <cellStyle name="Hyperlink" xfId="2555" builtinId="8" hidden="1"/>
    <cellStyle name="Hyperlink" xfId="2565" builtinId="8" hidden="1"/>
    <cellStyle name="Hyperlink" xfId="2577" builtinId="8" hidden="1"/>
    <cellStyle name="Hyperlink" xfId="2581" builtinId="8" hidden="1"/>
    <cellStyle name="Hyperlink" xfId="2591" builtinId="8" hidden="1"/>
    <cellStyle name="Hyperlink" xfId="2595" builtinId="8" hidden="1"/>
    <cellStyle name="Hyperlink" xfId="2599" builtinId="8" hidden="1"/>
    <cellStyle name="Hyperlink" xfId="2611" builtinId="8" hidden="1"/>
    <cellStyle name="Hyperlink" xfId="2619" builtinId="8" hidden="1"/>
    <cellStyle name="Hyperlink" xfId="2623" builtinId="8" hidden="1"/>
    <cellStyle name="Hyperlink" xfId="2631" builtinId="8" hidden="1"/>
    <cellStyle name="Hyperlink" xfId="2635" builtinId="8" hidden="1"/>
    <cellStyle name="Hyperlink" xfId="2639" builtinId="8" hidden="1"/>
    <cellStyle name="Hyperlink" xfId="2655" builtinId="8" hidden="1"/>
    <cellStyle name="Hyperlink" xfId="2659" builtinId="8" hidden="1"/>
    <cellStyle name="Hyperlink" xfId="2663" builtinId="8" hidden="1"/>
    <cellStyle name="Hyperlink" xfId="2675" builtinId="8" hidden="1"/>
    <cellStyle name="Hyperlink" xfId="2677" builtinId="8" hidden="1"/>
    <cellStyle name="Hyperlink" xfId="2687" builtinId="8" hidden="1"/>
    <cellStyle name="Hyperlink" xfId="2695" builtinId="8" hidden="1"/>
    <cellStyle name="Hyperlink" xfId="2703" builtinId="8" hidden="1"/>
    <cellStyle name="Hyperlink" xfId="2705" builtinId="8" hidden="1"/>
    <cellStyle name="Hyperlink" xfId="2719" builtinId="8" hidden="1"/>
    <cellStyle name="Hyperlink" xfId="2723" builtinId="8" hidden="1"/>
    <cellStyle name="Hyperlink" xfId="2729" builtinId="8" hidden="1"/>
    <cellStyle name="Hyperlink" xfId="2737" builtinId="8" hidden="1"/>
    <cellStyle name="Hyperlink" xfId="2745" builtinId="8" hidden="1"/>
    <cellStyle name="Hyperlink" xfId="2747" builtinId="8" hidden="1"/>
    <cellStyle name="Hyperlink" xfId="2761" builtinId="8" hidden="1"/>
    <cellStyle name="Hyperlink" xfId="2769" builtinId="8" hidden="1"/>
    <cellStyle name="Hyperlink" xfId="2775" builtinId="8" hidden="1"/>
    <cellStyle name="Hyperlink" xfId="2779" builtinId="8" hidden="1"/>
    <cellStyle name="Hyperlink" xfId="2787" builtinId="8" hidden="1"/>
    <cellStyle name="Hyperlink" xfId="2793" builtinId="8" hidden="1"/>
    <cellStyle name="Hyperlink" xfId="2805" builtinId="8" hidden="1"/>
    <cellStyle name="Hyperlink" xfId="2807" builtinId="8" hidden="1"/>
    <cellStyle name="Hyperlink" xfId="2817" builtinId="8" hidden="1"/>
    <cellStyle name="Hyperlink" xfId="2823" builtinId="8" hidden="1"/>
    <cellStyle name="Hyperlink" xfId="2829" builtinId="8" hidden="1"/>
    <cellStyle name="Hyperlink" xfId="2835" builtinId="8" hidden="1"/>
    <cellStyle name="Hyperlink" xfId="2849" builtinId="8" hidden="1"/>
    <cellStyle name="Hyperlink" xfId="2851" builtinId="8" hidden="1"/>
    <cellStyle name="Hyperlink" xfId="2857" builtinId="8" hidden="1"/>
    <cellStyle name="Hyperlink" xfId="2867" builtinId="8" hidden="1"/>
    <cellStyle name="Hyperlink" xfId="2875" builtinId="8" hidden="1"/>
    <cellStyle name="Hyperlink" xfId="2877" builtinId="8" hidden="1"/>
    <cellStyle name="Hyperlink" xfId="2889" builtinId="8" hidden="1"/>
    <cellStyle name="Hyperlink" xfId="2863" builtinId="8" hidden="1"/>
    <cellStyle name="Hyperlink" xfId="2831" builtinId="8" hidden="1"/>
    <cellStyle name="Hyperlink" xfId="2717" builtinId="8" hidden="1"/>
    <cellStyle name="Hyperlink" xfId="2701" builtinId="8" hidden="1"/>
    <cellStyle name="Hyperlink" xfId="2669" builtinId="8" hidden="1"/>
    <cellStyle name="Hyperlink" xfId="2605" builtinId="8" hidden="1"/>
    <cellStyle name="Hyperlink" xfId="2589" builtinId="8" hidden="1"/>
    <cellStyle name="Hyperlink" xfId="2525" builtinId="8" hidden="1"/>
    <cellStyle name="Hyperlink" xfId="2445" builtinId="8" hidden="1"/>
    <cellStyle name="Hyperlink" xfId="2413" builtinId="8" hidden="1"/>
    <cellStyle name="Hyperlink" xfId="2084" builtinId="8" hidden="1"/>
    <cellStyle name="Hyperlink" xfId="2320" builtinId="8" hidden="1"/>
    <cellStyle name="Hyperlink" xfId="2288" builtinId="8" hidden="1"/>
    <cellStyle name="Hyperlink" xfId="2208" builtinId="8" hidden="1"/>
    <cellStyle name="Hyperlink" xfId="2143" builtinId="8" hidden="1"/>
    <cellStyle name="Hyperlink" xfId="2127" builtinId="8" hidden="1"/>
    <cellStyle name="Hyperlink" xfId="2095" builtinId="8" hidden="1"/>
    <cellStyle name="Hyperlink" xfId="2012" builtinId="8" hidden="1"/>
    <cellStyle name="Hyperlink" xfId="1948" builtinId="8" hidden="1"/>
    <cellStyle name="Hyperlink" xfId="1932" builtinId="8" hidden="1"/>
    <cellStyle name="Hyperlink" xfId="1836" builtinId="8" hidden="1"/>
    <cellStyle name="Hyperlink" xfId="1820" builtinId="8" hidden="1"/>
    <cellStyle name="Hyperlink" xfId="1804" builtinId="8" hidden="1"/>
    <cellStyle name="Hyperlink" xfId="1694" builtinId="8" hidden="1"/>
    <cellStyle name="Hyperlink" xfId="1646" builtinId="8" hidden="1"/>
    <cellStyle name="Hyperlink" xfId="1630" builtinId="8" hidden="1"/>
    <cellStyle name="Hyperlink" xfId="1884" builtinId="8" hidden="1"/>
    <cellStyle name="Hyperlink" xfId="2060" builtinId="8" hidden="1"/>
    <cellStyle name="Hyperlink" xfId="2224" builtinId="8" hidden="1"/>
    <cellStyle name="Hyperlink" xfId="2887" builtinId="8" hidden="1"/>
    <cellStyle name="Hyperlink" xfId="2839" builtinId="8" hidden="1"/>
    <cellStyle name="Hyperlink" xfId="2813" builtinId="8" hidden="1"/>
    <cellStyle name="Hyperlink" xfId="2739" builtinId="8" hidden="1"/>
    <cellStyle name="Hyperlink" xfId="2713" builtinId="8" hidden="1"/>
    <cellStyle name="Hyperlink" xfId="2641" builtinId="8" hidden="1"/>
    <cellStyle name="Hyperlink" xfId="2593" builtinId="8" hidden="1"/>
    <cellStyle name="Hyperlink" xfId="2545" builtinId="8" hidden="1"/>
    <cellStyle name="Hyperlink" xfId="2519" builtinId="8" hidden="1"/>
    <cellStyle name="Hyperlink" xfId="2447" builtinId="8" hidden="1"/>
    <cellStyle name="Hyperlink" xfId="2399" builtinId="8" hidden="1"/>
    <cellStyle name="Hyperlink" xfId="2350" builtinId="8" hidden="1"/>
    <cellStyle name="Hyperlink" xfId="2302" builtinId="8" hidden="1"/>
    <cellStyle name="Hyperlink" xfId="2254" builtinId="8" hidden="1"/>
    <cellStyle name="Hyperlink" xfId="2230" builtinId="8" hidden="1"/>
    <cellStyle name="Hyperlink" xfId="2131" builtinId="8" hidden="1"/>
    <cellStyle name="Hyperlink" xfId="2107" builtinId="8" hidden="1"/>
    <cellStyle name="Hyperlink" xfId="2054" builtinId="8" hidden="1"/>
    <cellStyle name="Hyperlink" xfId="2006" builtinId="8" hidden="1"/>
    <cellStyle name="Hyperlink" xfId="1958" builtinId="8" hidden="1"/>
    <cellStyle name="Hyperlink" xfId="1934" builtinId="8" hidden="1"/>
    <cellStyle name="Hyperlink" xfId="1834" builtinId="8" hidden="1"/>
    <cellStyle name="Hyperlink" xfId="1812" builtinId="8" hidden="1"/>
    <cellStyle name="Hyperlink" xfId="1764" builtinId="8" hidden="1"/>
    <cellStyle name="Hyperlink" xfId="1716" builtinId="8" hidden="1"/>
    <cellStyle name="Hyperlink" xfId="1668" builtinId="8" hidden="1"/>
    <cellStyle name="Hyperlink" xfId="1618" builtinId="8" hidden="1"/>
    <cellStyle name="Hyperlink" xfId="1544" builtinId="8" hidden="1"/>
    <cellStyle name="Hyperlink" xfId="1522" builtinId="8" hidden="1"/>
    <cellStyle name="Hyperlink" xfId="1475" builtinId="8" hidden="1"/>
    <cellStyle name="Hyperlink" xfId="1427" builtinId="8" hidden="1"/>
    <cellStyle name="Hyperlink" xfId="1353" builtinId="8" hidden="1"/>
    <cellStyle name="Hyperlink" xfId="1327" builtinId="8" hidden="1"/>
    <cellStyle name="Hyperlink" xfId="1254" builtinId="8" hidden="1"/>
    <cellStyle name="Hyperlink" xfId="2943" builtinId="8" hidden="1"/>
    <cellStyle name="Hyperlink" xfId="3126" builtinId="8" hidden="1"/>
    <cellStyle name="Hyperlink" xfId="3459" builtinId="8" hidden="1"/>
    <cellStyle name="Hyperlink" xfId="3291" builtinId="8" hidden="1"/>
    <cellStyle name="Hyperlink" xfId="1379" builtinId="8" hidden="1"/>
    <cellStyle name="Hyperlink" xfId="1908" builtinId="8" hidden="1"/>
    <cellStyle name="Hyperlink" xfId="2155" builtinId="8" hidden="1"/>
    <cellStyle name="Hyperlink" xfId="2421" builtinId="8" hidden="1"/>
    <cellStyle name="Hyperlink" xfId="2573" builtinId="8" hidden="1"/>
    <cellStyle name="Hyperlink" xfId="1742" builtinId="8" hidden="1"/>
    <cellStyle name="Hyperlink" xfId="1996" builtinId="8" hidden="1"/>
    <cellStyle name="Hyperlink" xfId="2509" builtinId="8" hidden="1"/>
    <cellStyle name="Hyperlink" xfId="2783" builtinId="8" hidden="1"/>
    <cellStyle name="Hyperlink" xfId="2871" builtinId="8" hidden="1"/>
    <cellStyle name="Hyperlink" xfId="2795" builtinId="8" hidden="1"/>
    <cellStyle name="Hyperlink" xfId="2759" builtinId="8" hidden="1"/>
    <cellStyle name="Hyperlink" xfId="2721" builtinId="8" hidden="1"/>
    <cellStyle name="Hyperlink" xfId="2647" builtinId="8" hidden="1"/>
    <cellStyle name="Hyperlink" xfId="2609" builtinId="8" hidden="1"/>
    <cellStyle name="Hyperlink" xfId="2571" builtinId="8" hidden="1"/>
    <cellStyle name="Hyperlink" xfId="2499" builtinId="8" hidden="1"/>
    <cellStyle name="Hyperlink" xfId="2457" builtinId="8" hidden="1"/>
    <cellStyle name="Hyperlink" xfId="2425" builtinId="8" hidden="1"/>
    <cellStyle name="Hyperlink" xfId="2348" builtinId="8" hidden="1"/>
    <cellStyle name="Hyperlink" xfId="2314" builtinId="8" hidden="1"/>
    <cellStyle name="Hyperlink" xfId="2276" builtinId="8" hidden="1"/>
    <cellStyle name="Hyperlink" xfId="2202" builtinId="8" hidden="1"/>
    <cellStyle name="Hyperlink" xfId="2166" builtinId="8" hidden="1"/>
    <cellStyle name="Hyperlink" xfId="2125" builtinId="8" hidden="1"/>
    <cellStyle name="Hyperlink" xfId="2050" builtinId="8" hidden="1"/>
    <cellStyle name="Hyperlink" xfId="2014" builtinId="8" hidden="1"/>
    <cellStyle name="Hyperlink" xfId="1976" builtinId="8" hidden="1"/>
    <cellStyle name="Hyperlink" xfId="1898" builtinId="8" hidden="1"/>
    <cellStyle name="Hyperlink" xfId="1866" builtinId="8" hidden="1"/>
    <cellStyle name="Hyperlink" xfId="1826" builtinId="8" hidden="1"/>
    <cellStyle name="Hyperlink" xfId="1754" builtinId="8" hidden="1"/>
    <cellStyle name="Hyperlink" xfId="1718" builtinId="8" hidden="1"/>
    <cellStyle name="Hyperlink" xfId="1680" builtinId="8" hidden="1"/>
    <cellStyle name="Hyperlink" xfId="1606" builtinId="8" hidden="1"/>
    <cellStyle name="Hyperlink" xfId="1568" builtinId="8" hidden="1"/>
    <cellStyle name="Hyperlink" xfId="1532" builtinId="8" hidden="1"/>
    <cellStyle name="Hyperlink" xfId="1461" builtinId="8" hidden="1"/>
    <cellStyle name="Hyperlink" xfId="1423" builtinId="8" hidden="1"/>
    <cellStyle name="Hyperlink" xfId="1387" builtinId="8" hidden="1"/>
    <cellStyle name="Hyperlink" xfId="1315" builtinId="8" hidden="1"/>
    <cellStyle name="Hyperlink" xfId="1273" builtinId="8" hidden="1"/>
    <cellStyle name="Hyperlink" xfId="2927" builtinId="8" hidden="1"/>
    <cellStyle name="Hyperlink" xfId="3190" builtinId="8" hidden="1"/>
    <cellStyle name="Hyperlink" xfId="3323" builtinId="8" hidden="1"/>
    <cellStyle name="Hyperlink" xfId="3443" builtinId="8" hidden="1"/>
    <cellStyle name="Hyperlink" xfId="3708" builtinId="8" hidden="1"/>
    <cellStyle name="Hyperlink" xfId="3836" builtinId="8" hidden="1"/>
    <cellStyle name="Hyperlink" xfId="3969" builtinId="8" hidden="1"/>
    <cellStyle name="Hyperlink" xfId="4222" builtinId="8" hidden="1"/>
    <cellStyle name="Hyperlink" xfId="4358" builtinId="8" hidden="1"/>
    <cellStyle name="Hyperlink" xfId="4493" builtinId="8" hidden="1"/>
    <cellStyle name="Hyperlink" xfId="4757" builtinId="8" hidden="1"/>
    <cellStyle name="Hyperlink" xfId="4886" builtinId="8" hidden="1"/>
    <cellStyle name="Hyperlink" xfId="5014" builtinId="8" hidden="1"/>
    <cellStyle name="Hyperlink" xfId="1550" builtinId="8" hidden="1"/>
    <cellStyle name="Hyperlink" xfId="654" builtinId="8" hidden="1"/>
    <cellStyle name="Hyperlink" xfId="778" builtinId="8" hidden="1"/>
    <cellStyle name="Hyperlink" xfId="1020" builtinId="8" hidden="1"/>
    <cellStyle name="Hyperlink" xfId="1146" builtinId="8" hidden="1"/>
    <cellStyle name="Hyperlink" xfId="776" builtinId="8" hidden="1"/>
    <cellStyle name="Hyperlink" xfId="503" builtinId="8" hidden="1"/>
    <cellStyle name="Hyperlink" xfId="169" builtinId="8" hidden="1"/>
    <cellStyle name="Hyperlink" xfId="279" builtinId="8" hidden="1"/>
    <cellStyle name="Hyperlink" xfId="523" builtinId="8" hidden="1"/>
    <cellStyle name="Hyperlink" xfId="1068" builtinId="8" hidden="1"/>
    <cellStyle name="Hyperlink" xfId="874" builtinId="8" hidden="1"/>
    <cellStyle name="Hyperlink" xfId="2671" builtinId="8" hidden="1"/>
    <cellStyle name="Hyperlink" xfId="2270" builtinId="8" hidden="1"/>
    <cellStyle name="Hyperlink" xfId="1864" builtinId="8" hidden="1"/>
    <cellStyle name="Hyperlink" xfId="3403" builtinId="8" hidden="1"/>
    <cellStyle name="Hyperlink" xfId="4813" builtinId="8" hidden="1"/>
    <cellStyle name="Hyperlink" xfId="6094" builtinId="8" hidden="1"/>
    <cellStyle name="Hyperlink" xfId="7705" builtinId="8" hidden="1"/>
    <cellStyle name="Hyperlink" xfId="7274" builtinId="8" hidden="1"/>
    <cellStyle name="Hyperlink" xfId="6809" builtinId="8" hidden="1"/>
    <cellStyle name="Hyperlink" xfId="3114" builtinId="8" hidden="1"/>
    <cellStyle name="Hyperlink" xfId="3116" builtinId="8" hidden="1"/>
    <cellStyle name="Hyperlink" xfId="3124" builtinId="8" hidden="1"/>
    <cellStyle name="Hyperlink" xfId="3130" builtinId="8" hidden="1"/>
    <cellStyle name="Hyperlink" xfId="3138" builtinId="8" hidden="1"/>
    <cellStyle name="Hyperlink" xfId="3140" builtinId="8" hidden="1"/>
    <cellStyle name="Hyperlink" xfId="3152" builtinId="8" hidden="1"/>
    <cellStyle name="Hyperlink" xfId="3160" builtinId="8" hidden="1"/>
    <cellStyle name="Hyperlink" xfId="3162" builtinId="8" hidden="1"/>
    <cellStyle name="Hyperlink" xfId="3172" builtinId="8" hidden="1"/>
    <cellStyle name="Hyperlink" xfId="3176" builtinId="8" hidden="1"/>
    <cellStyle name="Hyperlink" xfId="3186" builtinId="8" hidden="1"/>
    <cellStyle name="Hyperlink" xfId="3196" builtinId="8" hidden="1"/>
    <cellStyle name="Hyperlink" xfId="3202" builtinId="8" hidden="1"/>
    <cellStyle name="Hyperlink" xfId="3204" builtinId="8" hidden="1"/>
    <cellStyle name="Hyperlink" xfId="3216" builtinId="8" hidden="1"/>
    <cellStyle name="Hyperlink" xfId="3218" builtinId="8" hidden="1"/>
    <cellStyle name="Hyperlink" xfId="3226" builtinId="8" hidden="1"/>
    <cellStyle name="Hyperlink" xfId="3234" builtinId="8" hidden="1"/>
    <cellStyle name="Hyperlink" xfId="3240" builtinId="8" hidden="1"/>
    <cellStyle name="Hyperlink" xfId="3244" builtinId="8" hidden="1"/>
    <cellStyle name="Hyperlink" xfId="3256" builtinId="8" hidden="1"/>
    <cellStyle name="Hyperlink" xfId="3260" builtinId="8" hidden="1"/>
    <cellStyle name="Hyperlink" xfId="3156" builtinId="8" hidden="1"/>
    <cellStyle name="Hyperlink" xfId="2993" builtinId="8" hidden="1"/>
    <cellStyle name="Hyperlink" xfId="2999" builtinId="8" hidden="1"/>
    <cellStyle name="Hyperlink" xfId="3003" builtinId="8" hidden="1"/>
    <cellStyle name="Hyperlink" xfId="3015" builtinId="8" hidden="1"/>
    <cellStyle name="Hyperlink" xfId="3017" builtinId="8" hidden="1"/>
    <cellStyle name="Hyperlink" xfId="3019" builtinId="8" hidden="1"/>
    <cellStyle name="Hyperlink" xfId="3031" builtinId="8" hidden="1"/>
    <cellStyle name="Hyperlink" xfId="3035" builtinId="8" hidden="1"/>
    <cellStyle name="Hyperlink" xfId="3041" builtinId="8" hidden="1"/>
    <cellStyle name="Hyperlink" xfId="3058" builtinId="8" hidden="1"/>
    <cellStyle name="Hyperlink" xfId="3060" builtinId="8" hidden="1"/>
    <cellStyle name="Hyperlink" xfId="3064" builtinId="8" hidden="1"/>
    <cellStyle name="Hyperlink" xfId="3074" builtinId="8" hidden="1"/>
    <cellStyle name="Hyperlink" xfId="2985" builtinId="8" hidden="1"/>
    <cellStyle name="Hyperlink" xfId="2937" builtinId="8" hidden="1"/>
    <cellStyle name="Hyperlink" xfId="2945" builtinId="8" hidden="1"/>
    <cellStyle name="Hyperlink" xfId="2953" builtinId="8" hidden="1"/>
    <cellStyle name="Hyperlink" xfId="2955" builtinId="8" hidden="1"/>
    <cellStyle name="Hyperlink" xfId="2965" builtinId="8" hidden="1"/>
    <cellStyle name="Hyperlink" xfId="2969" builtinId="8" hidden="1"/>
    <cellStyle name="Hyperlink" xfId="2976" builtinId="8" hidden="1"/>
    <cellStyle name="Hyperlink" xfId="2921" builtinId="8" hidden="1"/>
    <cellStyle name="Hyperlink" xfId="2929" builtinId="8" hidden="1"/>
    <cellStyle name="Hyperlink" xfId="2931" builtinId="8" hidden="1"/>
    <cellStyle name="Hyperlink" xfId="2909" builtinId="8" hidden="1"/>
    <cellStyle name="Hyperlink" xfId="2897" builtinId="8" hidden="1"/>
    <cellStyle name="Hyperlink" xfId="2893" builtinId="8" hidden="1"/>
    <cellStyle name="Hyperlink" xfId="2905" builtinId="8" hidden="1"/>
    <cellStyle name="Hyperlink" xfId="2925" builtinId="8" hidden="1"/>
    <cellStyle name="Hyperlink" xfId="2971" builtinId="8" hidden="1"/>
    <cellStyle name="Hyperlink" xfId="2949" builtinId="8" hidden="1"/>
    <cellStyle name="Hyperlink" xfId="3076" builtinId="8" hidden="1"/>
    <cellStyle name="Hyperlink" xfId="3056" builtinId="8" hidden="1"/>
    <cellStyle name="Hyperlink" xfId="3023" builtinId="8" hidden="1"/>
    <cellStyle name="Hyperlink" xfId="3011" builtinId="8" hidden="1"/>
    <cellStyle name="Hyperlink" xfId="2991" builtinId="8" hidden="1"/>
    <cellStyle name="Hyperlink" xfId="3252" builtinId="8" hidden="1"/>
    <cellStyle name="Hyperlink" xfId="3232" builtinId="8" hidden="1"/>
    <cellStyle name="Hyperlink" xfId="3220" builtinId="8" hidden="1"/>
    <cellStyle name="Hyperlink" xfId="3188" builtinId="8" hidden="1"/>
    <cellStyle name="Hyperlink" xfId="3178" builtinId="8" hidden="1"/>
    <cellStyle name="Hyperlink" xfId="3168" builtinId="8" hidden="1"/>
    <cellStyle name="Hyperlink" xfId="3132" builtinId="8" hidden="1"/>
    <cellStyle name="Hyperlink" xfId="3100" builtinId="8" hidden="1"/>
    <cellStyle name="Hyperlink" xfId="3090" builtinId="8" hidden="1"/>
    <cellStyle name="Hyperlink" xfId="3650" builtinId="8" hidden="1"/>
    <cellStyle name="Hyperlink" xfId="3640" builtinId="8" hidden="1"/>
    <cellStyle name="Hyperlink" xfId="3630" builtinId="8" hidden="1"/>
    <cellStyle name="Hyperlink" xfId="3598" builtinId="8" hidden="1"/>
    <cellStyle name="Hyperlink" xfId="3586" builtinId="8" hidden="1"/>
    <cellStyle name="Hyperlink" xfId="3561" builtinId="8" hidden="1"/>
    <cellStyle name="Hyperlink" xfId="3541" builtinId="8" hidden="1"/>
    <cellStyle name="Hyperlink" xfId="3519" builtinId="8" hidden="1"/>
    <cellStyle name="Hyperlink" xfId="3509" builtinId="8" hidden="1"/>
    <cellStyle name="Hyperlink" xfId="3463" builtinId="8" hidden="1"/>
    <cellStyle name="Hyperlink" xfId="3453" builtinId="8" hidden="1"/>
    <cellStyle name="Hyperlink" xfId="3431" builtinId="8" hidden="1"/>
    <cellStyle name="Hyperlink" xfId="3407" builtinId="8" hidden="1"/>
    <cellStyle name="Hyperlink" xfId="3385" builtinId="8" hidden="1"/>
    <cellStyle name="Hyperlink" xfId="3375" builtinId="8" hidden="1"/>
    <cellStyle name="Hyperlink" xfId="3343" builtinId="8" hidden="1"/>
    <cellStyle name="Hyperlink" xfId="3333" builtinId="8" hidden="1"/>
    <cellStyle name="Hyperlink" xfId="3319" builtinId="8" hidden="1"/>
    <cellStyle name="Hyperlink" xfId="3287" builtinId="8" hidden="1"/>
    <cellStyle name="Hyperlink" xfId="3277" builtinId="8" hidden="1"/>
    <cellStyle name="Hyperlink" xfId="3794" builtinId="8" hidden="1"/>
    <cellStyle name="Hyperlink" xfId="4471" builtinId="8" hidden="1"/>
    <cellStyle name="Hyperlink" xfId="4523" builtinId="8" hidden="1"/>
    <cellStyle name="Hyperlink" xfId="4511" builtinId="8" hidden="1"/>
    <cellStyle name="Hyperlink" xfId="4479" builtinId="8" hidden="1"/>
    <cellStyle name="Hyperlink" xfId="4465" builtinId="8" hidden="1"/>
    <cellStyle name="Hyperlink" xfId="4452" builtinId="8" hidden="1"/>
    <cellStyle name="Hyperlink" xfId="4428" builtinId="8" hidden="1"/>
    <cellStyle name="Hyperlink" xfId="4408" builtinId="8" hidden="1"/>
    <cellStyle name="Hyperlink" xfId="4396" builtinId="8" hidden="1"/>
    <cellStyle name="Hyperlink" xfId="4362" builtinId="8" hidden="1"/>
    <cellStyle name="Hyperlink" xfId="4348" builtinId="8" hidden="1"/>
    <cellStyle name="Hyperlink" xfId="4316" builtinId="8" hidden="1"/>
    <cellStyle name="Hyperlink" xfId="4292" builtinId="8" hidden="1"/>
    <cellStyle name="Hyperlink" xfId="4272" builtinId="8" hidden="1"/>
    <cellStyle name="Hyperlink" xfId="4258" builtinId="8" hidden="1"/>
    <cellStyle name="Hyperlink" xfId="4226" builtinId="8" hidden="1"/>
    <cellStyle name="Hyperlink" xfId="4212" builtinId="8" hidden="1"/>
    <cellStyle name="Hyperlink" xfId="4202" builtinId="8" hidden="1"/>
    <cellStyle name="Hyperlink" xfId="4168" builtinId="8" hidden="1"/>
    <cellStyle name="Hyperlink" xfId="4159" builtinId="8" hidden="1"/>
    <cellStyle name="Hyperlink" xfId="4135" builtinId="8" hidden="1"/>
    <cellStyle name="Hyperlink" xfId="4115" builtinId="8" hidden="1"/>
    <cellStyle name="Hyperlink" xfId="4079" builtinId="8" hidden="1"/>
    <cellStyle name="Hyperlink" xfId="4069" builtinId="8" hidden="1"/>
    <cellStyle name="Hyperlink" xfId="4035" builtinId="8" hidden="1"/>
    <cellStyle name="Hyperlink" xfId="4023" builtinId="8" hidden="1"/>
    <cellStyle name="Hyperlink" xfId="3999" builtinId="8" hidden="1"/>
    <cellStyle name="Hyperlink" xfId="3979" builtinId="8" hidden="1"/>
    <cellStyle name="Hyperlink" xfId="3955" builtinId="8" hidden="1"/>
    <cellStyle name="Hyperlink" xfId="3942" builtinId="8" hidden="1"/>
    <cellStyle name="Hyperlink" xfId="3908" builtinId="8" hidden="1"/>
    <cellStyle name="Hyperlink" xfId="3898" builtinId="8" hidden="1"/>
    <cellStyle name="Hyperlink" xfId="3886" builtinId="8" hidden="1"/>
    <cellStyle name="Hyperlink" xfId="3834" builtinId="8" hidden="1"/>
    <cellStyle name="Hyperlink" xfId="3814" builtinId="8" hidden="1"/>
    <cellStyle name="Hyperlink" xfId="3802" builtinId="8" hidden="1"/>
    <cellStyle name="Hyperlink" xfId="3768" builtinId="8" hidden="1"/>
    <cellStyle name="Hyperlink" xfId="3758" builtinId="8" hidden="1"/>
    <cellStyle name="Hyperlink" xfId="3744" builtinId="8" hidden="1"/>
    <cellStyle name="Hyperlink" xfId="3712" builtinId="8" hidden="1"/>
    <cellStyle name="Hyperlink" xfId="3698" builtinId="8" hidden="1"/>
    <cellStyle name="Hyperlink" xfId="3678" builtinId="8" hidden="1"/>
    <cellStyle name="Hyperlink" xfId="4579" builtinId="8" hidden="1"/>
    <cellStyle name="Hyperlink" xfId="4752" builtinId="8" hidden="1"/>
    <cellStyle name="Hyperlink" xfId="4842" builtinId="8" hidden="1"/>
    <cellStyle name="Hyperlink" xfId="5181" builtinId="8" hidden="1"/>
    <cellStyle name="Hyperlink" xfId="5265" builtinId="8" hidden="1"/>
    <cellStyle name="Hyperlink" xfId="5439" builtinId="8" hidden="1"/>
    <cellStyle name="Hyperlink" xfId="5609" builtinId="8" hidden="1"/>
    <cellStyle name="Hyperlink" xfId="5783" builtinId="8" hidden="1"/>
    <cellStyle name="Hyperlink" xfId="5869" builtinId="8" hidden="1"/>
    <cellStyle name="Hyperlink" xfId="6122" builtinId="8" hidden="1"/>
    <cellStyle name="Hyperlink" xfId="6208" builtinId="8" hidden="1"/>
    <cellStyle name="Hyperlink" xfId="6282" builtinId="8" hidden="1"/>
    <cellStyle name="Hyperlink" xfId="6540" builtinId="8" hidden="1"/>
    <cellStyle name="Hyperlink" xfId="6627" builtinId="8" hidden="1"/>
    <cellStyle name="Hyperlink" xfId="6705" builtinId="8" hidden="1"/>
    <cellStyle name="Hyperlink" xfId="6667" builtinId="8" hidden="1"/>
    <cellStyle name="Hyperlink" xfId="6657" builtinId="8" hidden="1"/>
    <cellStyle name="Hyperlink" xfId="6643" builtinId="8" hidden="1"/>
    <cellStyle name="Hyperlink" xfId="6609" builtinId="8" hidden="1"/>
    <cellStyle name="Hyperlink" xfId="6594" builtinId="8" hidden="1"/>
    <cellStyle name="Hyperlink" xfId="6570" builtinId="8" hidden="1"/>
    <cellStyle name="Hyperlink" xfId="6546" builtinId="8" hidden="1"/>
    <cellStyle name="Hyperlink" xfId="6520" builtinId="8" hidden="1"/>
    <cellStyle name="Hyperlink" xfId="6506" builtinId="8" hidden="1"/>
    <cellStyle name="Hyperlink" xfId="6470" builtinId="8" hidden="1"/>
    <cellStyle name="Hyperlink" xfId="6446" builtinId="8" hidden="1"/>
    <cellStyle name="Hyperlink" xfId="6422" builtinId="8" hidden="1"/>
    <cellStyle name="Hyperlink" xfId="6398" builtinId="8" hidden="1"/>
    <cellStyle name="Hyperlink" xfId="6374" builtinId="8" hidden="1"/>
    <cellStyle name="Hyperlink" xfId="6360" builtinId="8" hidden="1"/>
    <cellStyle name="Hyperlink" xfId="6322" builtinId="8" hidden="1"/>
    <cellStyle name="Hyperlink" xfId="6312" builtinId="8" hidden="1"/>
    <cellStyle name="Hyperlink" xfId="6298" builtinId="8" hidden="1"/>
    <cellStyle name="Hyperlink" xfId="6264" builtinId="8" hidden="1"/>
    <cellStyle name="Hyperlink" xfId="6250" builtinId="8" hidden="1"/>
    <cellStyle name="Hyperlink" xfId="4526" builtinId="8" hidden="1"/>
    <cellStyle name="Hyperlink" xfId="6188" builtinId="8" hidden="1"/>
    <cellStyle name="Hyperlink" xfId="6176" builtinId="8" hidden="1"/>
    <cellStyle name="Hyperlink" xfId="6162" builtinId="8" hidden="1"/>
    <cellStyle name="Hyperlink" xfId="6128" builtinId="8" hidden="1"/>
    <cellStyle name="Hyperlink" xfId="6114" builtinId="8" hidden="1"/>
    <cellStyle name="Hyperlink" xfId="6090" builtinId="8" hidden="1"/>
    <cellStyle name="Hyperlink" xfId="6066" builtinId="8" hidden="1"/>
    <cellStyle name="Hyperlink" xfId="6042" builtinId="8" hidden="1"/>
    <cellStyle name="Hyperlink" xfId="6028" builtinId="8" hidden="1"/>
    <cellStyle name="Hyperlink" xfId="5992" builtinId="8" hidden="1"/>
    <cellStyle name="Hyperlink" xfId="5980" builtinId="8" hidden="1"/>
    <cellStyle name="Hyperlink" xfId="5968" builtinId="8" hidden="1"/>
    <cellStyle name="Hyperlink" xfId="5923" builtinId="8" hidden="1"/>
    <cellStyle name="Hyperlink" xfId="5899" builtinId="8" hidden="1"/>
    <cellStyle name="Hyperlink" xfId="5885" builtinId="8" hidden="1"/>
    <cellStyle name="Hyperlink" xfId="5851" builtinId="8" hidden="1"/>
    <cellStyle name="Hyperlink" xfId="5837" builtinId="8" hidden="1"/>
    <cellStyle name="Hyperlink" xfId="5823" builtinId="8" hidden="1"/>
    <cellStyle name="Hyperlink" xfId="5789" builtinId="8" hidden="1"/>
    <cellStyle name="Hyperlink" xfId="5775" builtinId="8" hidden="1"/>
    <cellStyle name="Hyperlink" xfId="5751" builtinId="8" hidden="1"/>
    <cellStyle name="Hyperlink" xfId="5727" builtinId="8" hidden="1"/>
    <cellStyle name="Hyperlink" xfId="5702" builtinId="8" hidden="1"/>
    <cellStyle name="Hyperlink" xfId="5678" builtinId="8" hidden="1"/>
    <cellStyle name="Hyperlink" xfId="5639" builtinId="8" hidden="1"/>
    <cellStyle name="Hyperlink" xfId="5625" builtinId="8" hidden="1"/>
    <cellStyle name="Hyperlink" xfId="5601" builtinId="8" hidden="1"/>
    <cellStyle name="Hyperlink" xfId="5577" builtinId="8" hidden="1"/>
    <cellStyle name="Hyperlink" xfId="5553" builtinId="8" hidden="1"/>
    <cellStyle name="Hyperlink" xfId="5539" builtinId="8" hidden="1"/>
    <cellStyle name="Hyperlink" xfId="5505" builtinId="8" hidden="1"/>
    <cellStyle name="Hyperlink" xfId="5491" builtinId="8" hidden="1"/>
    <cellStyle name="Hyperlink" xfId="5479" builtinId="8" hidden="1"/>
    <cellStyle name="Hyperlink" xfId="5443" builtinId="8" hidden="1"/>
    <cellStyle name="Hyperlink" xfId="5407" builtinId="8" hidden="1"/>
    <cellStyle name="Hyperlink" xfId="5393" builtinId="8" hidden="1"/>
    <cellStyle name="Hyperlink" xfId="5359" builtinId="8" hidden="1"/>
    <cellStyle name="Hyperlink" xfId="5343" builtinId="8" hidden="1"/>
    <cellStyle name="Hyperlink" xfId="5333" builtinId="8" hidden="1"/>
    <cellStyle name="Hyperlink" xfId="5295" builtinId="8" hidden="1"/>
    <cellStyle name="Hyperlink" xfId="5281" builtinId="8" hidden="1"/>
    <cellStyle name="Hyperlink" xfId="5257" builtinId="8" hidden="1"/>
    <cellStyle name="Hyperlink" xfId="5233" builtinId="8" hidden="1"/>
    <cellStyle name="Hyperlink" xfId="5209" builtinId="8" hidden="1"/>
    <cellStyle name="Hyperlink" xfId="5197" builtinId="8" hidden="1"/>
    <cellStyle name="Hyperlink" xfId="5149" builtinId="8" hidden="1"/>
    <cellStyle name="Hyperlink" xfId="5135" builtinId="8" hidden="1"/>
    <cellStyle name="Hyperlink" xfId="5111" builtinId="8" hidden="1"/>
    <cellStyle name="Hyperlink" xfId="5087" builtinId="8" hidden="1"/>
    <cellStyle name="Hyperlink" xfId="5063" builtinId="8" hidden="1"/>
    <cellStyle name="Hyperlink" xfId="5052" builtinId="8" hidden="1"/>
    <cellStyle name="Hyperlink" xfId="5018" builtinId="8" hidden="1"/>
    <cellStyle name="Hyperlink" xfId="5004" builtinId="8" hidden="1"/>
    <cellStyle name="Hyperlink" xfId="4994" builtinId="8" hidden="1"/>
    <cellStyle name="Hyperlink" xfId="4956" builtinId="8" hidden="1"/>
    <cellStyle name="Hyperlink" xfId="4944" builtinId="8" hidden="1"/>
    <cellStyle name="Hyperlink" xfId="4920" builtinId="8" hidden="1"/>
    <cellStyle name="Hyperlink" xfId="4872" builtinId="8" hidden="1"/>
    <cellStyle name="Hyperlink" xfId="4858" builtinId="8" hidden="1"/>
    <cellStyle name="Hyperlink" xfId="4848" builtinId="8" hidden="1"/>
    <cellStyle name="Hyperlink" xfId="4809" builtinId="8" hidden="1"/>
    <cellStyle name="Hyperlink" xfId="4795" builtinId="8" hidden="1"/>
    <cellStyle name="Hyperlink" xfId="4771" builtinId="8" hidden="1"/>
    <cellStyle name="Hyperlink" xfId="4741" builtinId="8" hidden="1"/>
    <cellStyle name="Hyperlink" xfId="4908" builtinId="8" hidden="1"/>
    <cellStyle name="Hyperlink" xfId="5161" builtinId="8" hidden="1"/>
    <cellStyle name="Hyperlink" xfId="5690" builtinId="8" hidden="1"/>
    <cellStyle name="Hyperlink" xfId="5944" builtinId="8" hidden="1"/>
    <cellStyle name="Hyperlink" xfId="6212" builtinId="8" hidden="1"/>
    <cellStyle name="Hyperlink" xfId="6717" builtinId="8" hidden="1"/>
    <cellStyle name="Hyperlink" xfId="4928" builtinId="8" hidden="1"/>
    <cellStyle name="Hyperlink" xfId="3848" builtinId="8" hidden="1"/>
    <cellStyle name="Hyperlink" xfId="4338" builtinId="8" hidden="1"/>
    <cellStyle name="Hyperlink" xfId="3971" builtinId="8" hidden="1"/>
    <cellStyle name="Hyperlink" xfId="3473" builtinId="8" hidden="1"/>
    <cellStyle name="Hyperlink" xfId="3066" builtinId="8" hidden="1"/>
    <cellStyle name="Hyperlink" xfId="2913" builtinId="8" hidden="1"/>
    <cellStyle name="Hyperlink" xfId="3049" builtinId="8" hidden="1"/>
    <cellStyle name="Hyperlink" xfId="3184" builtinId="8" hidden="1"/>
    <cellStyle name="Hyperlink" xfId="4300" builtinId="8" hidden="1"/>
    <cellStyle name="Hyperlink" xfId="4312" builtinId="8" hidden="1"/>
    <cellStyle name="Hyperlink" xfId="4320" builtinId="8" hidden="1"/>
    <cellStyle name="Hyperlink" xfId="4324" builtinId="8" hidden="1"/>
    <cellStyle name="Hyperlink" xfId="4330" builtinId="8" hidden="1"/>
    <cellStyle name="Hyperlink" xfId="4340" builtinId="8" hidden="1"/>
    <cellStyle name="Hyperlink" xfId="4344" builtinId="8" hidden="1"/>
    <cellStyle name="Hyperlink" xfId="4346" builtinId="8" hidden="1"/>
    <cellStyle name="Hyperlink" xfId="4360" builtinId="8" hidden="1"/>
    <cellStyle name="Hyperlink" xfId="4364" builtinId="8" hidden="1"/>
    <cellStyle name="Hyperlink" xfId="4370" builtinId="8" hidden="1"/>
    <cellStyle name="Hyperlink" xfId="4378" builtinId="8" hidden="1"/>
    <cellStyle name="Hyperlink" xfId="4386" builtinId="8" hidden="1"/>
    <cellStyle name="Hyperlink" xfId="4388" builtinId="8" hidden="1"/>
    <cellStyle name="Hyperlink" xfId="4404" builtinId="8" hidden="1"/>
    <cellStyle name="Hyperlink" xfId="4410" builtinId="8" hidden="1"/>
    <cellStyle name="Hyperlink" xfId="4416" builtinId="8" hidden="1"/>
    <cellStyle name="Hyperlink" xfId="4424" builtinId="8" hidden="1"/>
    <cellStyle name="Hyperlink" xfId="4432" builtinId="8" hidden="1"/>
    <cellStyle name="Hyperlink" xfId="4434" builtinId="8" hidden="1"/>
    <cellStyle name="Hyperlink" xfId="4448" builtinId="8" hidden="1"/>
    <cellStyle name="Hyperlink" xfId="4450" builtinId="8" hidden="1"/>
    <cellStyle name="Hyperlink" xfId="4456" builtinId="8" hidden="1"/>
    <cellStyle name="Hyperlink" xfId="3866" builtinId="8" hidden="1"/>
    <cellStyle name="Hyperlink" xfId="2977" builtinId="8" hidden="1"/>
    <cellStyle name="Hyperlink" xfId="4467" builtinId="8" hidden="1"/>
    <cellStyle name="Hyperlink" xfId="4475" builtinId="8" hidden="1"/>
    <cellStyle name="Hyperlink" xfId="4483" builtinId="8" hidden="1"/>
    <cellStyle name="Hyperlink" xfId="4487" builtinId="8" hidden="1"/>
    <cellStyle name="Hyperlink" xfId="4497" builtinId="8" hidden="1"/>
    <cellStyle name="Hyperlink" xfId="4503" builtinId="8" hidden="1"/>
    <cellStyle name="Hyperlink" xfId="4505" builtinId="8" hidden="1"/>
    <cellStyle name="Hyperlink" xfId="4519" builtinId="8" hidden="1"/>
    <cellStyle name="Hyperlink" xfId="4521" builtinId="8" hidden="1"/>
    <cellStyle name="Hyperlink" xfId="4531" builtinId="8" hidden="1"/>
    <cellStyle name="Hyperlink" xfId="4436" builtinId="8" hidden="1"/>
    <cellStyle name="Hyperlink" xfId="4352" builtinId="8" hidden="1"/>
    <cellStyle name="Hyperlink" xfId="4266" builtinId="8" hidden="1"/>
    <cellStyle name="Hyperlink" xfId="4055" builtinId="8" hidden="1"/>
    <cellStyle name="Hyperlink" xfId="4013" builtinId="8" hidden="1"/>
    <cellStyle name="Hyperlink" xfId="3884" builtinId="8" hidden="1"/>
    <cellStyle name="Hyperlink" xfId="3752" builtinId="8" hidden="1"/>
    <cellStyle name="Hyperlink" xfId="3666" builtinId="8" hidden="1"/>
    <cellStyle name="Hyperlink" xfId="3272" builtinId="8" hidden="1"/>
    <cellStyle name="Hyperlink" xfId="3279" builtinId="8" hidden="1"/>
    <cellStyle name="Hyperlink" xfId="3281" builtinId="8" hidden="1"/>
    <cellStyle name="Hyperlink" xfId="3285" builtinId="8" hidden="1"/>
    <cellStyle name="Hyperlink" xfId="3295" builtinId="8" hidden="1"/>
    <cellStyle name="Hyperlink" xfId="3301" builtinId="8" hidden="1"/>
    <cellStyle name="Hyperlink" xfId="3305" builtinId="8" hidden="1"/>
    <cellStyle name="Hyperlink" xfId="3313" builtinId="8" hidden="1"/>
    <cellStyle name="Hyperlink" xfId="3321" builtinId="8" hidden="1"/>
    <cellStyle name="Hyperlink" xfId="3327" builtinId="8" hidden="1"/>
    <cellStyle name="Hyperlink" xfId="3337" builtinId="8" hidden="1"/>
    <cellStyle name="Hyperlink" xfId="3341" builtinId="8" hidden="1"/>
    <cellStyle name="Hyperlink" xfId="3345" builtinId="8" hidden="1"/>
    <cellStyle name="Hyperlink" xfId="3357" builtinId="8" hidden="1"/>
    <cellStyle name="Hyperlink" xfId="3359" builtinId="8" hidden="1"/>
    <cellStyle name="Hyperlink" xfId="3367" builtinId="8" hidden="1"/>
    <cellStyle name="Hyperlink" xfId="3373" builtinId="8" hidden="1"/>
    <cellStyle name="Hyperlink" xfId="3381" builtinId="8" hidden="1"/>
    <cellStyle name="Hyperlink" xfId="3389" builtinId="8" hidden="1"/>
    <cellStyle name="Hyperlink" xfId="3399" builtinId="8" hidden="1"/>
    <cellStyle name="Hyperlink" xfId="3401" builtinId="8" hidden="1"/>
    <cellStyle name="Hyperlink" xfId="3413" builtinId="8" hidden="1"/>
    <cellStyle name="Hyperlink" xfId="3417" builtinId="8" hidden="1"/>
    <cellStyle name="Hyperlink" xfId="3425" builtinId="8" hidden="1"/>
    <cellStyle name="Hyperlink" xfId="3429" builtinId="8" hidden="1"/>
    <cellStyle name="Hyperlink" xfId="3439" builtinId="8" hidden="1"/>
    <cellStyle name="Hyperlink" xfId="3445" builtinId="8" hidden="1"/>
    <cellStyle name="Hyperlink" xfId="3447" builtinId="8" hidden="1"/>
    <cellStyle name="Hyperlink" xfId="3457" builtinId="8" hidden="1"/>
    <cellStyle name="Hyperlink" xfId="3461" builtinId="8" hidden="1"/>
    <cellStyle name="Hyperlink" xfId="3469" builtinId="8" hidden="1"/>
    <cellStyle name="Hyperlink" xfId="3477" builtinId="8" hidden="1"/>
    <cellStyle name="Hyperlink" xfId="3481" builtinId="8" hidden="1"/>
    <cellStyle name="Hyperlink" xfId="3487" builtinId="8" hidden="1"/>
    <cellStyle name="Hyperlink" xfId="3501" builtinId="8" hidden="1"/>
    <cellStyle name="Hyperlink" xfId="3503" builtinId="8" hidden="1"/>
    <cellStyle name="Hyperlink" xfId="3505" builtinId="8" hidden="1"/>
    <cellStyle name="Hyperlink" xfId="3517" builtinId="8" hidden="1"/>
    <cellStyle name="Hyperlink" xfId="3521" builtinId="8" hidden="1"/>
    <cellStyle name="Hyperlink" xfId="3527" builtinId="8" hidden="1"/>
    <cellStyle name="Hyperlink" xfId="3535" builtinId="8" hidden="1"/>
    <cellStyle name="Hyperlink" xfId="3545" builtinId="8" hidden="1"/>
    <cellStyle name="Hyperlink" xfId="3549" builtinId="8" hidden="1"/>
    <cellStyle name="Hyperlink" xfId="3559" builtinId="8" hidden="1"/>
    <cellStyle name="Hyperlink" xfId="3565" builtinId="8" hidden="1"/>
    <cellStyle name="Hyperlink" xfId="3569" builtinId="8" hidden="1"/>
    <cellStyle name="Hyperlink" xfId="3578" builtinId="8" hidden="1"/>
    <cellStyle name="Hyperlink" xfId="3590" builtinId="8" hidden="1"/>
    <cellStyle name="Hyperlink" xfId="3592" builtinId="8" hidden="1"/>
    <cellStyle name="Hyperlink" xfId="3602" builtinId="8" hidden="1"/>
    <cellStyle name="Hyperlink" xfId="3606" builtinId="8" hidden="1"/>
    <cellStyle name="Hyperlink" xfId="3610" builtinId="8" hidden="1"/>
    <cellStyle name="Hyperlink" xfId="3622" builtinId="8" hidden="1"/>
    <cellStyle name="Hyperlink" xfId="3624" builtinId="8" hidden="1"/>
    <cellStyle name="Hyperlink" xfId="3632" builtinId="8" hidden="1"/>
    <cellStyle name="Hyperlink" xfId="3638" builtinId="8" hidden="1"/>
    <cellStyle name="Hyperlink" xfId="3646" builtinId="8" hidden="1"/>
    <cellStyle name="Hyperlink" xfId="3648" builtinId="8" hidden="1"/>
    <cellStyle name="Hyperlink" xfId="3658" builtinId="8" hidden="1"/>
    <cellStyle name="Hyperlink" xfId="3495" builtinId="8" hidden="1"/>
    <cellStyle name="Hyperlink" xfId="3409" builtinId="8" hidden="1"/>
    <cellStyle name="Hyperlink" xfId="3084" builtinId="8" hidden="1"/>
    <cellStyle name="Hyperlink" xfId="3088" builtinId="8" hidden="1"/>
    <cellStyle name="Hyperlink" xfId="3096" builtinId="8" hidden="1"/>
    <cellStyle name="Hyperlink" xfId="3108" builtinId="8" hidden="1"/>
    <cellStyle name="Hyperlink" xfId="3104" builtinId="8" hidden="1"/>
    <cellStyle name="Hyperlink" xfId="3543" builtinId="8" hidden="1"/>
    <cellStyle name="Hyperlink" xfId="4224" builtinId="8" hidden="1"/>
    <cellStyle name="Hyperlink" xfId="4402" builtinId="8" hidden="1"/>
    <cellStyle name="Hyperlink" xfId="3949" builtinId="8" hidden="1"/>
    <cellStyle name="Hyperlink" xfId="3957" builtinId="8" hidden="1"/>
    <cellStyle name="Hyperlink" xfId="3963" builtinId="8" hidden="1"/>
    <cellStyle name="Hyperlink" xfId="3967" builtinId="8" hidden="1"/>
    <cellStyle name="Hyperlink" xfId="3981" builtinId="8" hidden="1"/>
    <cellStyle name="Hyperlink" xfId="3983" builtinId="8" hidden="1"/>
    <cellStyle name="Hyperlink" xfId="3987" builtinId="8" hidden="1"/>
    <cellStyle name="Hyperlink" xfId="3997" builtinId="8" hidden="1"/>
    <cellStyle name="Hyperlink" xfId="4003" builtinId="8" hidden="1"/>
    <cellStyle name="Hyperlink" xfId="4007" builtinId="8" hidden="1"/>
    <cellStyle name="Hyperlink" xfId="4019" builtinId="8" hidden="1"/>
    <cellStyle name="Hyperlink" xfId="4027" builtinId="8" hidden="1"/>
    <cellStyle name="Hyperlink" xfId="4029" builtinId="8" hidden="1"/>
    <cellStyle name="Hyperlink" xfId="4039" builtinId="8" hidden="1"/>
    <cellStyle name="Hyperlink" xfId="4043" builtinId="8" hidden="1"/>
    <cellStyle name="Hyperlink" xfId="4047" builtinId="8" hidden="1"/>
    <cellStyle name="Hyperlink" xfId="4061" builtinId="8" hidden="1"/>
    <cellStyle name="Hyperlink" xfId="4063" builtinId="8" hidden="1"/>
    <cellStyle name="Hyperlink" xfId="4071" builtinId="8" hidden="1"/>
    <cellStyle name="Hyperlink" xfId="4085" builtinId="8" hidden="1"/>
    <cellStyle name="Hyperlink" xfId="4087" builtinId="8" hidden="1"/>
    <cellStyle name="Hyperlink" xfId="4093" builtinId="8" hidden="1"/>
    <cellStyle name="Hyperlink" xfId="4107" builtinId="8" hidden="1"/>
    <cellStyle name="Hyperlink" xfId="4109" builtinId="8" hidden="1"/>
    <cellStyle name="Hyperlink" xfId="4117" builtinId="8" hidden="1"/>
    <cellStyle name="Hyperlink" xfId="4123" builtinId="8" hidden="1"/>
    <cellStyle name="Hyperlink" xfId="4131" builtinId="8" hidden="1"/>
    <cellStyle name="Hyperlink" xfId="4133" builtinId="8" hidden="1"/>
    <cellStyle name="Hyperlink" xfId="4147" builtinId="8" hidden="1"/>
    <cellStyle name="Hyperlink" xfId="4151" builtinId="8" hidden="1"/>
    <cellStyle name="Hyperlink" xfId="4155" builtinId="8" hidden="1"/>
    <cellStyle name="Hyperlink" xfId="4165" builtinId="8" hidden="1"/>
    <cellStyle name="Hyperlink" xfId="4167" builtinId="8" hidden="1"/>
    <cellStyle name="Hyperlink" xfId="4172" builtinId="8" hidden="1"/>
    <cellStyle name="Hyperlink" xfId="4184" builtinId="8" hidden="1"/>
    <cellStyle name="Hyperlink" xfId="4188" builtinId="8" hidden="1"/>
    <cellStyle name="Hyperlink" xfId="4194" builtinId="8" hidden="1"/>
    <cellStyle name="Hyperlink" xfId="4204" builtinId="8" hidden="1"/>
    <cellStyle name="Hyperlink" xfId="4208" builtinId="8" hidden="1"/>
    <cellStyle name="Hyperlink" xfId="4210" builtinId="8" hidden="1"/>
    <cellStyle name="Hyperlink" xfId="4220" builtinId="8" hidden="1"/>
    <cellStyle name="Hyperlink" xfId="4228" builtinId="8" hidden="1"/>
    <cellStyle name="Hyperlink" xfId="4234" builtinId="8" hidden="1"/>
    <cellStyle name="Hyperlink" xfId="4242" builtinId="8" hidden="1"/>
    <cellStyle name="Hyperlink" xfId="4250" builtinId="8" hidden="1"/>
    <cellStyle name="Hyperlink" xfId="4252" builtinId="8" hidden="1"/>
    <cellStyle name="Hyperlink" xfId="4264" builtinId="8" hidden="1"/>
    <cellStyle name="Hyperlink" xfId="4268" builtinId="8" hidden="1"/>
    <cellStyle name="Hyperlink" xfId="4274" builtinId="8" hidden="1"/>
    <cellStyle name="Hyperlink" xfId="4284" builtinId="8" hidden="1"/>
    <cellStyle name="Hyperlink" xfId="4288" builtinId="8" hidden="1"/>
    <cellStyle name="Hyperlink" xfId="4296" builtinId="8" hidden="1"/>
    <cellStyle name="Hyperlink" xfId="4077" builtinId="8" hidden="1"/>
    <cellStyle name="Hyperlink" xfId="3770" builtinId="8" hidden="1"/>
    <cellStyle name="Hyperlink" xfId="3776" builtinId="8" hidden="1"/>
    <cellStyle name="Hyperlink" xfId="3784" builtinId="8" hidden="1"/>
    <cellStyle name="Hyperlink" xfId="3792" builtinId="8" hidden="1"/>
    <cellStyle name="Hyperlink" xfId="3798" builtinId="8" hidden="1"/>
    <cellStyle name="Hyperlink" xfId="3808" builtinId="8" hidden="1"/>
    <cellStyle name="Hyperlink" xfId="3810" builtinId="8" hidden="1"/>
    <cellStyle name="Hyperlink" xfId="3816" builtinId="8" hidden="1"/>
    <cellStyle name="Hyperlink" xfId="3826" builtinId="8" hidden="1"/>
    <cellStyle name="Hyperlink" xfId="3830" builtinId="8" hidden="1"/>
    <cellStyle name="Hyperlink" xfId="3840" builtinId="8" hidden="1"/>
    <cellStyle name="Hyperlink" xfId="3846" builtinId="8" hidden="1"/>
    <cellStyle name="Hyperlink" xfId="3854" builtinId="8" hidden="1"/>
    <cellStyle name="Hyperlink" xfId="3856" builtinId="8" hidden="1"/>
    <cellStyle name="Hyperlink" xfId="3868" builtinId="8" hidden="1"/>
    <cellStyle name="Hyperlink" xfId="3876" builtinId="8" hidden="1"/>
    <cellStyle name="Hyperlink" xfId="3878" builtinId="8" hidden="1"/>
    <cellStyle name="Hyperlink" xfId="3892" builtinId="8" hidden="1"/>
    <cellStyle name="Hyperlink" xfId="3894" builtinId="8" hidden="1"/>
    <cellStyle name="Hyperlink" xfId="3902" builtinId="8" hidden="1"/>
    <cellStyle name="Hyperlink" xfId="3910" builtinId="8" hidden="1"/>
    <cellStyle name="Hyperlink" xfId="3916" builtinId="8" hidden="1"/>
    <cellStyle name="Hyperlink" xfId="3922" builtinId="8" hidden="1"/>
    <cellStyle name="Hyperlink" xfId="3934" builtinId="8" hidden="1"/>
    <cellStyle name="Hyperlink" xfId="3938" builtinId="8" hidden="1"/>
    <cellStyle name="Hyperlink" xfId="3940" builtinId="8" hidden="1"/>
    <cellStyle name="Hyperlink" xfId="3686" builtinId="8" hidden="1"/>
    <cellStyle name="Hyperlink" xfId="3690" builtinId="8" hidden="1"/>
    <cellStyle name="Hyperlink" xfId="3694" builtinId="8" hidden="1"/>
    <cellStyle name="Hyperlink" xfId="3704" builtinId="8" hidden="1"/>
    <cellStyle name="Hyperlink" xfId="3706" builtinId="8" hidden="1"/>
    <cellStyle name="Hyperlink" xfId="3718" builtinId="8" hidden="1"/>
    <cellStyle name="Hyperlink" xfId="3726" builtinId="8" hidden="1"/>
    <cellStyle name="Hyperlink" xfId="3730" builtinId="8" hidden="1"/>
    <cellStyle name="Hyperlink" xfId="3736" builtinId="8" hidden="1"/>
    <cellStyle name="Hyperlink" xfId="3746" builtinId="8" hidden="1"/>
    <cellStyle name="Hyperlink" xfId="3754" builtinId="8" hidden="1"/>
    <cellStyle name="Hyperlink" xfId="3762" builtinId="8" hidden="1"/>
    <cellStyle name="Hyperlink" xfId="3750" builtinId="8" hidden="1"/>
    <cellStyle name="Hyperlink" xfId="4685" builtinId="8" hidden="1"/>
    <cellStyle name="Hyperlink" xfId="4643" builtinId="8" hidden="1"/>
    <cellStyle name="Hyperlink" xfId="4557" builtinId="8" hidden="1"/>
    <cellStyle name="Hyperlink" xfId="4537" builtinId="8" hidden="1"/>
    <cellStyle name="Hyperlink" xfId="3662" builtinId="8" hidden="1"/>
    <cellStyle name="Hyperlink" xfId="3674" builtinId="8" hidden="1"/>
    <cellStyle name="Hyperlink" xfId="4864" builtinId="8" hidden="1"/>
    <cellStyle name="Hyperlink" xfId="4799" builtinId="8" hidden="1"/>
    <cellStyle name="Hyperlink" xfId="4729" builtinId="8" hidden="1"/>
    <cellStyle name="Hyperlink" xfId="4906" builtinId="8" hidden="1"/>
    <cellStyle name="Hyperlink" xfId="4884" builtinId="8" hidden="1"/>
    <cellStyle name="Hyperlink" xfId="4992" builtinId="8" hidden="1"/>
    <cellStyle name="Hyperlink" xfId="4970" builtinId="8" hidden="1"/>
    <cellStyle name="Hyperlink" xfId="4777" builtinId="8" hidden="1"/>
    <cellStyle name="Hyperlink" xfId="3672" builtinId="8" hidden="1"/>
    <cellStyle name="Hyperlink" xfId="4621" builtinId="8" hidden="1"/>
    <cellStyle name="Hyperlink" xfId="3766" builtinId="8" hidden="1"/>
    <cellStyle name="Hyperlink" xfId="3738" builtinId="8" hidden="1"/>
    <cellStyle name="Hyperlink" xfId="3720" builtinId="8" hidden="1"/>
    <cellStyle name="Hyperlink" xfId="3702" builtinId="8" hidden="1"/>
    <cellStyle name="Hyperlink" xfId="3680" builtinId="8" hidden="1"/>
    <cellStyle name="Hyperlink" xfId="3924" builtinId="8" hidden="1"/>
    <cellStyle name="Hyperlink" xfId="3906" builtinId="8" hidden="1"/>
    <cellStyle name="Hyperlink" xfId="3890" builtinId="8" hidden="1"/>
    <cellStyle name="Hyperlink" xfId="3862" builtinId="8" hidden="1"/>
    <cellStyle name="Hyperlink" xfId="3842" builtinId="8" hidden="1"/>
    <cellStyle name="Hyperlink" xfId="3822" builtinId="8" hidden="1"/>
    <cellStyle name="Hyperlink" xfId="3800" builtinId="8" hidden="1"/>
    <cellStyle name="Hyperlink" xfId="3782" builtinId="8" hidden="1"/>
    <cellStyle name="Hyperlink" xfId="4298" builtinId="8" hidden="1"/>
    <cellStyle name="Hyperlink" xfId="4280" builtinId="8" hidden="1"/>
    <cellStyle name="Hyperlink" xfId="4256" builtinId="8" hidden="1"/>
    <cellStyle name="Hyperlink" xfId="4240" builtinId="8" hidden="1"/>
    <cellStyle name="Hyperlink" xfId="4218" builtinId="8" hidden="1"/>
    <cellStyle name="Hyperlink" xfId="4196" builtinId="8" hidden="1"/>
    <cellStyle name="Hyperlink" xfId="4176" builtinId="8" hidden="1"/>
    <cellStyle name="Hyperlink" xfId="4163" builtinId="8" hidden="1"/>
    <cellStyle name="Hyperlink" xfId="4139" builtinId="8" hidden="1"/>
    <cellStyle name="Hyperlink" xfId="4119" builtinId="8" hidden="1"/>
    <cellStyle name="Hyperlink" xfId="4101" builtinId="8" hidden="1"/>
    <cellStyle name="Hyperlink" xfId="4075" builtinId="8" hidden="1"/>
    <cellStyle name="Hyperlink" xfId="4053" builtinId="8" hidden="1"/>
    <cellStyle name="Hyperlink" xfId="4031" builtinId="8" hidden="1"/>
    <cellStyle name="Hyperlink" xfId="4015" builtinId="8" hidden="1"/>
    <cellStyle name="Hyperlink" xfId="3995" builtinId="8" hidden="1"/>
    <cellStyle name="Hyperlink" xfId="3973" builtinId="8" hidden="1"/>
    <cellStyle name="Hyperlink" xfId="3951" builtinId="8" hidden="1"/>
    <cellStyle name="Hyperlink" xfId="3383" builtinId="8" hidden="1"/>
    <cellStyle name="Hyperlink" xfId="3098" builtinId="8" hidden="1"/>
    <cellStyle name="Hyperlink" xfId="3082" builtinId="8" hidden="1"/>
    <cellStyle name="Hyperlink" xfId="3654" builtinId="8" hidden="1"/>
    <cellStyle name="Hyperlink" xfId="3634" builtinId="8" hidden="1"/>
    <cellStyle name="Hyperlink" xfId="3616" builtinId="8" hidden="1"/>
    <cellStyle name="Hyperlink" xfId="3594" builtinId="8" hidden="1"/>
    <cellStyle name="Hyperlink" xfId="3576" builtinId="8" hidden="1"/>
    <cellStyle name="Hyperlink" xfId="3557" builtinId="8" hidden="1"/>
    <cellStyle name="Hyperlink" xfId="3533" builtinId="8" hidden="1"/>
    <cellStyle name="Hyperlink" xfId="3513" builtinId="8" hidden="1"/>
    <cellStyle name="Hyperlink" xfId="3489" builtinId="8" hidden="1"/>
    <cellStyle name="Hyperlink" xfId="3471" builtinId="8" hidden="1"/>
    <cellStyle name="Hyperlink" xfId="3455" builtinId="8" hidden="1"/>
    <cellStyle name="Hyperlink" xfId="3433" builtinId="8" hidden="1"/>
    <cellStyle name="Hyperlink" xfId="3415" builtinId="8" hidden="1"/>
    <cellStyle name="Hyperlink" xfId="3393" builtinId="8" hidden="1"/>
    <cellStyle name="Hyperlink" xfId="3369" builtinId="8" hidden="1"/>
    <cellStyle name="Hyperlink" xfId="3351" builtinId="8" hidden="1"/>
    <cellStyle name="Hyperlink" xfId="3329" builtinId="8" hidden="1"/>
    <cellStyle name="Hyperlink" xfId="3311" builtinId="8" hidden="1"/>
    <cellStyle name="Hyperlink" xfId="3293" builtinId="8" hidden="1"/>
    <cellStyle name="Hyperlink" xfId="3274" builtinId="8" hidden="1"/>
    <cellStyle name="Hyperlink" xfId="3838" builtinId="8" hidden="1"/>
    <cellStyle name="Hyperlink" xfId="4099" builtinId="8" hidden="1"/>
    <cellStyle name="Hyperlink" xfId="4513" builtinId="8" hidden="1"/>
    <cellStyle name="Hyperlink" xfId="4515" builtinId="8" hidden="1"/>
    <cellStyle name="Hyperlink" xfId="4491" builtinId="8" hidden="1"/>
    <cellStyle name="Hyperlink" xfId="4473" builtinId="8" hidden="1"/>
    <cellStyle name="Hyperlink" xfId="2750" builtinId="8" hidden="1"/>
    <cellStyle name="Hyperlink" xfId="4440" builtinId="8" hidden="1"/>
    <cellStyle name="Hyperlink" xfId="4420" builtinId="8" hidden="1"/>
    <cellStyle name="Hyperlink" xfId="4392" builtinId="8" hidden="1"/>
    <cellStyle name="Hyperlink" xfId="4376" builtinId="8" hidden="1"/>
    <cellStyle name="Hyperlink" xfId="4356" builtinId="8" hidden="1"/>
    <cellStyle name="Hyperlink" xfId="4332" builtinId="8" hidden="1"/>
    <cellStyle name="Hyperlink" xfId="4314" builtinId="8" hidden="1"/>
    <cellStyle name="Hyperlink" xfId="3258" builtinId="8" hidden="1"/>
    <cellStyle name="Hyperlink" xfId="3122" builtinId="8" hidden="1"/>
    <cellStyle name="Hyperlink" xfId="4091" builtinId="8" hidden="1"/>
    <cellStyle name="Hyperlink" xfId="6458" builtinId="8" hidden="1"/>
    <cellStyle name="Hyperlink" xfId="5431" builtinId="8" hidden="1"/>
    <cellStyle name="Hyperlink" xfId="4761" builtinId="8" hidden="1"/>
    <cellStyle name="Hyperlink" xfId="4823" builtinId="8" hidden="1"/>
    <cellStyle name="Hyperlink" xfId="4896" builtinId="8" hidden="1"/>
    <cellStyle name="Hyperlink" xfId="4968" builtinId="8" hidden="1"/>
    <cellStyle name="Hyperlink" xfId="5042" builtinId="8" hidden="1"/>
    <cellStyle name="Hyperlink" xfId="5101" builtinId="8" hidden="1"/>
    <cellStyle name="Hyperlink" xfId="5185" builtinId="8" hidden="1"/>
    <cellStyle name="Hyperlink" xfId="5247" builtinId="8" hidden="1"/>
    <cellStyle name="Hyperlink" xfId="5305" builtinId="8" hidden="1"/>
    <cellStyle name="Hyperlink" xfId="5383" builtinId="8" hidden="1"/>
    <cellStyle name="Hyperlink" xfId="5455" builtinId="8" hidden="1"/>
    <cellStyle name="Hyperlink" xfId="5529" builtinId="8" hidden="1"/>
    <cellStyle name="Hyperlink" xfId="5591" builtinId="8" hidden="1"/>
    <cellStyle name="Hyperlink" xfId="5652" builtinId="8" hidden="1"/>
    <cellStyle name="Hyperlink" xfId="5739" builtinId="8" hidden="1"/>
    <cellStyle name="Hyperlink" xfId="5799" builtinId="8" hidden="1"/>
    <cellStyle name="Hyperlink" xfId="5875" builtinId="8" hidden="1"/>
    <cellStyle name="Hyperlink" xfId="5935" builtinId="8" hidden="1"/>
    <cellStyle name="Hyperlink" xfId="6018" builtinId="8" hidden="1"/>
    <cellStyle name="Hyperlink" xfId="6076" builtinId="8" hidden="1"/>
    <cellStyle name="Hyperlink" xfId="6138" builtinId="8" hidden="1"/>
    <cellStyle name="Hyperlink" xfId="6224" builtinId="8" hidden="1"/>
    <cellStyle name="Hyperlink" xfId="6274" builtinId="8" hidden="1"/>
    <cellStyle name="Hyperlink" xfId="6350" builtinId="8" hidden="1"/>
    <cellStyle name="Hyperlink" xfId="6408" builtinId="8" hidden="1"/>
    <cellStyle name="Hyperlink" xfId="6494" builtinId="8" hidden="1"/>
    <cellStyle name="Hyperlink" xfId="6556" builtinId="8" hidden="1"/>
    <cellStyle name="Hyperlink" xfId="6619" builtinId="8" hidden="1"/>
    <cellStyle name="Hyperlink" xfId="6693" builtinId="8" hidden="1"/>
    <cellStyle name="Hyperlink" xfId="6454" builtinId="8" hidden="1"/>
    <cellStyle name="Hyperlink" xfId="5952" builtinId="8" hidden="1"/>
    <cellStyle name="Hyperlink" xfId="5523" builtinId="8" hidden="1"/>
    <cellStyle name="Hyperlink" xfId="5095" builtinId="8" hidden="1"/>
    <cellStyle name="Hyperlink" xfId="3664" builtinId="8" hidden="1"/>
    <cellStyle name="Hyperlink" xfId="3722" builtinId="8" hidden="1"/>
    <cellStyle name="Hyperlink" xfId="3790" builtinId="8" hidden="1"/>
    <cellStyle name="Hyperlink" xfId="3858" builtinId="8" hidden="1"/>
    <cellStyle name="Hyperlink" xfId="3932" builtinId="8" hidden="1"/>
    <cellStyle name="Hyperlink" xfId="3989" builtinId="8" hidden="1"/>
    <cellStyle name="Hyperlink" xfId="4045" builtinId="8" hidden="1"/>
    <cellStyle name="Hyperlink" xfId="4125" builtinId="8" hidden="1"/>
    <cellStyle name="Hyperlink" xfId="4178" builtinId="8" hidden="1"/>
    <cellStyle name="Hyperlink" xfId="4248" builtinId="8" hidden="1"/>
    <cellStyle name="Hyperlink" xfId="4304" builtinId="8" hidden="1"/>
    <cellStyle name="Hyperlink" xfId="4384" builtinId="8" hidden="1"/>
    <cellStyle name="Hyperlink" xfId="4442" builtinId="8" hidden="1"/>
    <cellStyle name="Hyperlink" xfId="4489" builtinId="8" hidden="1"/>
    <cellStyle name="Hyperlink" xfId="4141" builtinId="8" hidden="1"/>
    <cellStyle name="Hyperlink" xfId="3297" builtinId="8" hidden="1"/>
    <cellStyle name="Hyperlink" xfId="3365" builtinId="8" hidden="1"/>
    <cellStyle name="Hyperlink" xfId="3421" builtinId="8" hidden="1"/>
    <cellStyle name="Hyperlink" xfId="3497" builtinId="8" hidden="1"/>
    <cellStyle name="Hyperlink" xfId="3551" builtinId="8" hidden="1"/>
    <cellStyle name="Hyperlink" xfId="3608" builtinId="8" hidden="1"/>
    <cellStyle name="Hyperlink" xfId="3080" builtinId="8" hidden="1"/>
    <cellStyle name="Hyperlink" xfId="3144" builtinId="8" hidden="1"/>
    <cellStyle name="Hyperlink" xfId="3210" builtinId="8" hidden="1"/>
    <cellStyle name="Hyperlink" xfId="3264" builtinId="8" hidden="1"/>
    <cellStyle name="Hyperlink" xfId="3033" builtinId="8" hidden="1"/>
    <cellStyle name="Hyperlink" xfId="2961" builtinId="8" hidden="1"/>
    <cellStyle name="Hyperlink" xfId="2899" builtinId="8" hidden="1"/>
    <cellStyle name="Hyperlink" xfId="2901" builtinId="8" hidden="1"/>
    <cellStyle name="Hyperlink" xfId="2917" builtinId="8" hidden="1"/>
    <cellStyle name="Hyperlink" xfId="2957" builtinId="8" hidden="1"/>
    <cellStyle name="Hyperlink" xfId="2941" builtinId="8" hidden="1"/>
    <cellStyle name="Hyperlink" xfId="3072" builtinId="8" hidden="1"/>
    <cellStyle name="Hyperlink" xfId="3047" builtinId="8" hidden="1"/>
    <cellStyle name="Hyperlink" xfId="3027" builtinId="8" hidden="1"/>
    <cellStyle name="Hyperlink" xfId="3007" builtinId="8" hidden="1"/>
    <cellStyle name="Hyperlink" xfId="2987" builtinId="8" hidden="1"/>
    <cellStyle name="Hyperlink" xfId="3248" builtinId="8" hidden="1"/>
    <cellStyle name="Hyperlink" xfId="3228" builtinId="8" hidden="1"/>
    <cellStyle name="Hyperlink" xfId="3212" builtinId="8" hidden="1"/>
    <cellStyle name="Hyperlink" xfId="3192" builtinId="8" hidden="1"/>
    <cellStyle name="Hyperlink" xfId="3170" builtinId="8" hidden="1"/>
    <cellStyle name="Hyperlink" xfId="3146" builtinId="8" hidden="1"/>
    <cellStyle name="Hyperlink" xfId="3128" builtinId="8" hidden="1"/>
    <cellStyle name="Hyperlink" xfId="4645" builtinId="8" hidden="1"/>
    <cellStyle name="Hyperlink" xfId="7495" builtinId="8" hidden="1"/>
    <cellStyle name="Hyperlink" xfId="1500" builtinId="8" hidden="1"/>
    <cellStyle name="Hyperlink" xfId="1852" builtinId="8" hidden="1"/>
    <cellStyle name="Hyperlink" xfId="25" builtinId="8" hidden="1"/>
    <cellStyle name="Hyperlink" xfId="381" builtinId="8" hidden="1"/>
    <cellStyle name="Hyperlink" xfId="905" builtinId="8" hidden="1"/>
    <cellStyle name="Hyperlink" xfId="5139" builtinId="8" hidden="1"/>
    <cellStyle name="Hyperlink" xfId="4607" builtinId="8" hidden="1"/>
    <cellStyle name="Hyperlink" xfId="4105" builtinId="8" hidden="1"/>
    <cellStyle name="Hyperlink" xfId="3580" builtinId="8" hidden="1"/>
    <cellStyle name="Hyperlink" xfId="3062" builtinId="8" hidden="1"/>
    <cellStyle name="Hyperlink" xfId="1347" builtinId="8" hidden="1"/>
    <cellStyle name="Hyperlink" xfId="1197" builtinId="8" hidden="1"/>
    <cellStyle name="Hyperlink" xfId="1644" builtinId="8" hidden="1"/>
    <cellStyle name="Hyperlink" xfId="1790" builtinId="8" hidden="1"/>
    <cellStyle name="Hyperlink" xfId="1940" builtinId="8" hidden="1"/>
    <cellStyle name="Hyperlink" xfId="2091" builtinId="8" hidden="1"/>
    <cellStyle name="Hyperlink" xfId="2238" builtinId="8" hidden="1"/>
    <cellStyle name="Hyperlink" xfId="2385" builtinId="8" hidden="1"/>
    <cellStyle name="Hyperlink" xfId="2535" builtinId="8" hidden="1"/>
    <cellStyle name="Hyperlink" xfId="2681" builtinId="8" hidden="1"/>
    <cellStyle name="Hyperlink" xfId="2833" builtinId="8" hidden="1"/>
    <cellStyle name="Hyperlink" xfId="2256" builtinId="8" hidden="1"/>
    <cellStyle name="Hyperlink" xfId="2691" builtinId="8" hidden="1"/>
    <cellStyle name="Hyperlink" xfId="1642" builtinId="8" hidden="1"/>
    <cellStyle name="Hyperlink" xfId="3206" builtinId="8" hidden="1"/>
    <cellStyle name="Hyperlink" xfId="1279" builtinId="8" hidden="1"/>
    <cellStyle name="Hyperlink" xfId="1451" builtinId="8" hidden="1"/>
    <cellStyle name="Hyperlink" xfId="1570" builtinId="8" hidden="1"/>
    <cellStyle name="Hyperlink" xfId="1740" builtinId="8" hidden="1"/>
    <cellStyle name="Hyperlink" xfId="1860" builtinId="8" hidden="1"/>
    <cellStyle name="Hyperlink" xfId="2032" builtinId="8" hidden="1"/>
    <cellStyle name="Hyperlink" xfId="2204" builtinId="8" hidden="1"/>
    <cellStyle name="Hyperlink" xfId="2328" builtinId="8" hidden="1"/>
    <cellStyle name="Hyperlink" xfId="2495" builtinId="8" hidden="1"/>
    <cellStyle name="Hyperlink" xfId="2617" builtinId="8" hidden="1"/>
    <cellStyle name="Hyperlink" xfId="2789" builtinId="8" hidden="1"/>
    <cellStyle name="Hyperlink" xfId="2733" builtinId="8" hidden="1"/>
    <cellStyle name="Hyperlink" xfId="1614" builtinId="8" hidden="1"/>
    <cellStyle name="Hyperlink" xfId="1758" builtinId="8" hidden="1"/>
    <cellStyle name="Hyperlink" xfId="1900" builtinId="8" hidden="1"/>
    <cellStyle name="Hyperlink" xfId="2028" builtinId="8" hidden="1"/>
    <cellStyle name="Hyperlink" xfId="2192" builtinId="8" hidden="1"/>
    <cellStyle name="Hyperlink" xfId="2336" builtinId="8" hidden="1"/>
    <cellStyle name="Hyperlink" xfId="2477" builtinId="8" hidden="1"/>
    <cellStyle name="Hyperlink" xfId="2637" builtinId="8" hidden="1"/>
    <cellStyle name="Hyperlink" xfId="2799" builtinId="8" hidden="1"/>
    <cellStyle name="Hyperlink" xfId="2885" builtinId="8" hidden="1"/>
    <cellStyle name="Hyperlink" xfId="2859" builtinId="8" hidden="1"/>
    <cellStyle name="Hyperlink" xfId="2843" builtinId="8" hidden="1"/>
    <cellStyle name="Hyperlink" xfId="2821" builtinId="8" hidden="1"/>
    <cellStyle name="Hyperlink" xfId="2803" builtinId="8" hidden="1"/>
    <cellStyle name="Hyperlink" xfId="2777" builtinId="8" hidden="1"/>
    <cellStyle name="Hyperlink" xfId="2753" builtinId="8" hidden="1"/>
    <cellStyle name="Hyperlink" xfId="2731" builtinId="8" hidden="1"/>
    <cellStyle name="Hyperlink" xfId="2709" builtinId="8" hidden="1"/>
    <cellStyle name="Hyperlink" xfId="2693" builtinId="8" hidden="1"/>
    <cellStyle name="Hyperlink" xfId="2667" builtinId="8" hidden="1"/>
    <cellStyle name="Hyperlink" xfId="2649" builtinId="8" hidden="1"/>
    <cellStyle name="Hyperlink" xfId="2627" builtinId="8" hidden="1"/>
    <cellStyle name="Hyperlink" xfId="2603" builtinId="8" hidden="1"/>
    <cellStyle name="Hyperlink" xfId="2583" builtinId="8" hidden="1"/>
    <cellStyle name="Hyperlink" xfId="2563" builtinId="8" hidden="1"/>
    <cellStyle name="Hyperlink" xfId="2539" builtinId="8" hidden="1"/>
    <cellStyle name="Hyperlink" xfId="2521" builtinId="8" hidden="1"/>
    <cellStyle name="Hyperlink" xfId="2501" builtinId="8" hidden="1"/>
    <cellStyle name="Hyperlink" xfId="2481" builtinId="8" hidden="1"/>
    <cellStyle name="Hyperlink" xfId="2455" builtinId="8" hidden="1"/>
    <cellStyle name="Hyperlink" xfId="2437" builtinId="8" hidden="1"/>
    <cellStyle name="Hyperlink" xfId="2411" builtinId="8" hidden="1"/>
    <cellStyle name="Hyperlink" xfId="2393" builtinId="8" hidden="1"/>
    <cellStyle name="Hyperlink" xfId="2374" builtinId="8" hidden="1"/>
    <cellStyle name="Hyperlink" xfId="2358" builtinId="8" hidden="1"/>
    <cellStyle name="Hyperlink" xfId="2332" builtinId="8" hidden="1"/>
    <cellStyle name="Hyperlink" xfId="2310" builtinId="8" hidden="1"/>
    <cellStyle name="Hyperlink" xfId="2292" builtinId="8" hidden="1"/>
    <cellStyle name="Hyperlink" xfId="2266" builtinId="8" hidden="1"/>
    <cellStyle name="Hyperlink" xfId="2248" builtinId="8" hidden="1"/>
    <cellStyle name="Hyperlink" xfId="2222" builtinId="8" hidden="1"/>
    <cellStyle name="Hyperlink" xfId="2210" builtinId="8" hidden="1"/>
    <cellStyle name="Hyperlink" xfId="2184" builtinId="8" hidden="1"/>
    <cellStyle name="Hyperlink" xfId="2164" builtinId="8" hidden="1"/>
    <cellStyle name="Hyperlink" xfId="2139" builtinId="8" hidden="1"/>
    <cellStyle name="Hyperlink" xfId="2119" builtinId="8" hidden="1"/>
    <cellStyle name="Hyperlink" xfId="2099" builtinId="8" hidden="1"/>
    <cellStyle name="Hyperlink" xfId="2072" builtinId="8" hidden="1"/>
    <cellStyle name="Hyperlink" xfId="2052" builtinId="8" hidden="1"/>
    <cellStyle name="Hyperlink" xfId="2034" builtinId="8" hidden="1"/>
    <cellStyle name="Hyperlink" xfId="2008" builtinId="8" hidden="1"/>
    <cellStyle name="Hyperlink" xfId="1990" builtinId="8" hidden="1"/>
    <cellStyle name="Hyperlink" xfId="1968" builtinId="8" hidden="1"/>
    <cellStyle name="Hyperlink" xfId="1950" builtinId="8" hidden="1"/>
    <cellStyle name="Hyperlink" xfId="1924" builtinId="8" hidden="1"/>
    <cellStyle name="Hyperlink" xfId="1906" builtinId="8" hidden="1"/>
    <cellStyle name="Hyperlink" xfId="1880" builtinId="8" hidden="1"/>
    <cellStyle name="Hyperlink" xfId="1858" builtinId="8" hidden="1"/>
    <cellStyle name="Hyperlink" xfId="1842" builtinId="8" hidden="1"/>
    <cellStyle name="Hyperlink" xfId="1816" builtinId="8" hidden="1"/>
    <cellStyle name="Hyperlink" xfId="1798" builtinId="8" hidden="1"/>
    <cellStyle name="Hyperlink" xfId="1778" builtinId="8" hidden="1"/>
    <cellStyle name="Hyperlink" xfId="1760" builtinId="8" hidden="1"/>
    <cellStyle name="Hyperlink" xfId="1734" builtinId="8" hidden="1"/>
    <cellStyle name="Hyperlink" xfId="1714" builtinId="8" hidden="1"/>
    <cellStyle name="Hyperlink" xfId="1696" builtinId="8" hidden="1"/>
    <cellStyle name="Hyperlink" xfId="1672" builtinId="8" hidden="1"/>
    <cellStyle name="Hyperlink" xfId="1652" builtinId="8" hidden="1"/>
    <cellStyle name="Hyperlink" xfId="1632" builtinId="8" hidden="1"/>
    <cellStyle name="Hyperlink" xfId="1608" builtinId="8" hidden="1"/>
    <cellStyle name="Hyperlink" xfId="1588" builtinId="8" hidden="1"/>
    <cellStyle name="Hyperlink" xfId="1562" builtinId="8" hidden="1"/>
    <cellStyle name="Hyperlink" xfId="1548" builtinId="8" hidden="1"/>
    <cellStyle name="Hyperlink" xfId="1524" builtinId="8" hidden="1"/>
    <cellStyle name="Hyperlink" xfId="1506" builtinId="8" hidden="1"/>
    <cellStyle name="Hyperlink" xfId="1483" builtinId="8" hidden="1"/>
    <cellStyle name="Hyperlink" xfId="1465" builtinId="8" hidden="1"/>
    <cellStyle name="Hyperlink" xfId="1443" builtinId="8" hidden="1"/>
    <cellStyle name="Hyperlink" xfId="1417" builtinId="8" hidden="1"/>
    <cellStyle name="Hyperlink" xfId="1399" builtinId="8" hidden="1"/>
    <cellStyle name="Hyperlink" xfId="1373" builtinId="8" hidden="1"/>
    <cellStyle name="Hyperlink" xfId="1359" builtinId="8" hidden="1"/>
    <cellStyle name="Hyperlink" xfId="1335" builtinId="8" hidden="1"/>
    <cellStyle name="Hyperlink" xfId="1317" builtinId="8" hidden="1"/>
    <cellStyle name="Hyperlink" xfId="1291" builtinId="8" hidden="1"/>
    <cellStyle name="Hyperlink" xfId="1270" builtinId="8" hidden="1"/>
    <cellStyle name="Hyperlink" xfId="1250" builtinId="8" hidden="1"/>
    <cellStyle name="Hyperlink" xfId="2959" builtinId="8" hidden="1"/>
    <cellStyle name="Hyperlink" xfId="3029" builtinId="8" hidden="1"/>
    <cellStyle name="Hyperlink" xfId="3102" builtinId="8" hidden="1"/>
    <cellStyle name="Hyperlink" xfId="3174" builtinId="8" hidden="1"/>
    <cellStyle name="Hyperlink" xfId="3254" builtinId="8" hidden="1"/>
    <cellStyle name="Hyperlink" xfId="3331" builtinId="8" hidden="1"/>
    <cellStyle name="Hyperlink" xfId="3395" builtinId="8" hidden="1"/>
    <cellStyle name="Hyperlink" xfId="3483" builtinId="8" hidden="1"/>
    <cellStyle name="Hyperlink" xfId="3539" builtinId="8" hidden="1"/>
    <cellStyle name="Hyperlink" xfId="3620" builtinId="8" hidden="1"/>
    <cellStyle name="Hyperlink" xfId="3684" builtinId="8" hidden="1"/>
    <cellStyle name="Hyperlink" xfId="3772" builtinId="8" hidden="1"/>
    <cellStyle name="Hyperlink" xfId="3860" builtinId="8" hidden="1"/>
    <cellStyle name="Hyperlink" xfId="3928" builtinId="8" hidden="1"/>
    <cellStyle name="Hyperlink" xfId="4009" builtinId="8" hidden="1"/>
    <cellStyle name="Hyperlink" xfId="4073" builtinId="8" hidden="1"/>
    <cellStyle name="Hyperlink" xfId="4161" builtinId="8" hidden="1"/>
    <cellStyle name="Hyperlink" xfId="4214" builtinId="8" hidden="1"/>
    <cellStyle name="Hyperlink" xfId="4294" builtinId="8" hidden="1"/>
    <cellStyle name="Hyperlink" xfId="4374" builtinId="8" hidden="1"/>
    <cellStyle name="Hyperlink" xfId="4446" builtinId="8" hidden="1"/>
    <cellStyle name="Hyperlink" xfId="4509" builtinId="8" hidden="1"/>
    <cellStyle name="Hyperlink" xfId="4591" builtinId="8" hidden="1"/>
    <cellStyle name="Hyperlink" xfId="4663" builtinId="8" hidden="1"/>
    <cellStyle name="Hyperlink" xfId="4727" builtinId="8" hidden="1"/>
    <cellStyle name="Hyperlink" xfId="4805" builtinId="8" hidden="1"/>
    <cellStyle name="Hyperlink" xfId="4894" builtinId="8" hidden="1"/>
    <cellStyle name="Hyperlink" xfId="4958" builtinId="8" hidden="1"/>
    <cellStyle name="Hyperlink" xfId="5046" builtinId="8" hidden="1"/>
    <cellStyle name="Hyperlink" xfId="5107" builtinId="8" hidden="1"/>
    <cellStyle name="Hyperlink" xfId="5187" builtinId="8" hidden="1"/>
    <cellStyle name="Hyperlink" xfId="5243" builtinId="8" hidden="1"/>
    <cellStyle name="Hyperlink" xfId="599" builtinId="8" hidden="1"/>
    <cellStyle name="Hyperlink" xfId="674" builtinId="8" hidden="1"/>
    <cellStyle name="Hyperlink" xfId="732" builtinId="8" hidden="1"/>
    <cellStyle name="Hyperlink" xfId="812" builtinId="8" hidden="1"/>
    <cellStyle name="Hyperlink" xfId="868" builtinId="8" hidden="1"/>
    <cellStyle name="Hyperlink" xfId="951" builtinId="8" hidden="1"/>
    <cellStyle name="Hyperlink" xfId="1010" builtinId="8" hidden="1"/>
    <cellStyle name="Hyperlink" xfId="1088" builtinId="8" hidden="1"/>
    <cellStyle name="Hyperlink" xfId="1156" builtinId="8" hidden="1"/>
    <cellStyle name="Hyperlink" xfId="1228" builtinId="8" hidden="1"/>
    <cellStyle name="Hyperlink" xfId="287" builtinId="8" hidden="1"/>
    <cellStyle name="Hyperlink" xfId="358" builtinId="8" hidden="1"/>
    <cellStyle name="Hyperlink" xfId="425" builtinId="8" hidden="1"/>
    <cellStyle name="Hyperlink" xfId="491" builtinId="8" hidden="1"/>
    <cellStyle name="Hyperlink" xfId="557" builtinId="8" hidden="1"/>
    <cellStyle name="Hyperlink" xfId="181" builtinId="8" hidden="1"/>
    <cellStyle name="Hyperlink" xfId="235" builtinId="8" hidden="1"/>
    <cellStyle name="Hyperlink" xfId="99" builtinId="8" hidden="1"/>
    <cellStyle name="Hyperlink" xfId="43" builtinId="8" hidden="1"/>
    <cellStyle name="Hyperlink" xfId="37" builtinId="8" hidden="1"/>
    <cellStyle name="Hyperlink" xfId="195" builtinId="8" hidden="1"/>
    <cellStyle name="Hyperlink" xfId="419" builtinId="8" hidden="1"/>
    <cellStyle name="Hyperlink" xfId="1184" builtinId="8" hidden="1"/>
    <cellStyle name="Hyperlink" xfId="1014" builtinId="8" hidden="1"/>
    <cellStyle name="Hyperlink" xfId="770" builtinId="8" hidden="1"/>
    <cellStyle name="Hyperlink" xfId="303" builtinId="8" hidden="1"/>
    <cellStyle name="Hyperlink" xfId="2879" builtinId="8" hidden="1"/>
    <cellStyle name="Hyperlink" xfId="2707" builtinId="8" hidden="1"/>
    <cellStyle name="Hyperlink" xfId="2451" builtinId="8" hidden="1"/>
    <cellStyle name="Hyperlink" xfId="2234" builtinId="8" hidden="1"/>
    <cellStyle name="Hyperlink" xfId="2010" builtinId="8" hidden="1"/>
    <cellStyle name="Hyperlink" xfId="1792" builtinId="8" hidden="1"/>
    <cellStyle name="Hyperlink" xfId="1574" builtinId="8" hidden="1"/>
    <cellStyle name="Hyperlink" xfId="1357" builtinId="8" hidden="1"/>
    <cellStyle name="Hyperlink" xfId="2978" builtinId="8" hidden="1"/>
    <cellStyle name="Hyperlink" xfId="4049" builtinId="8" hidden="1"/>
    <cellStyle name="Hyperlink" xfId="4942" builtinId="8" hidden="1"/>
    <cellStyle name="Hyperlink" xfId="5581" builtinId="8" hidden="1"/>
    <cellStyle name="Hyperlink" xfId="6468" builtinId="8" hidden="1"/>
    <cellStyle name="Hyperlink" xfId="7108" builtinId="8" hidden="1"/>
    <cellStyle name="Hyperlink" xfId="8000" builtinId="8" hidden="1"/>
    <cellStyle name="Hyperlink" xfId="7786" builtinId="8" hidden="1"/>
    <cellStyle name="Hyperlink" xfId="7491" builtinId="8" hidden="1"/>
    <cellStyle name="Hyperlink" xfId="7190" builtinId="8" hidden="1"/>
    <cellStyle name="Hyperlink" xfId="6976" builtinId="8" hidden="1"/>
    <cellStyle name="Hyperlink" xfId="4547" builtinId="8" hidden="1"/>
    <cellStyle name="Hyperlink" xfId="4609" builtinId="8" hidden="1"/>
    <cellStyle name="Hyperlink" xfId="4693" builtinId="8" hidden="1"/>
    <cellStyle name="Hyperlink" xfId="4230" builtinId="8" hidden="1"/>
    <cellStyle name="Hyperlink" xfId="7778" builtinId="8" hidden="1"/>
    <cellStyle name="Hyperlink" xfId="7858" builtinId="8" hidden="1"/>
    <cellStyle name="Hyperlink" xfId="7942" builtinId="8" hidden="1"/>
    <cellStyle name="Hyperlink" xfId="7948" builtinId="8" hidden="1"/>
    <cellStyle name="Hyperlink" xfId="7695" builtinId="8" hidden="1"/>
    <cellStyle name="Hyperlink" xfId="7454" builtinId="8" hidden="1"/>
    <cellStyle name="Hyperlink" xfId="7220" builtinId="8" hidden="1"/>
    <cellStyle name="Hyperlink" xfId="6964" builtinId="8" hidden="1"/>
    <cellStyle name="Hyperlink" xfId="6735" builtinId="8" hidden="1"/>
    <cellStyle name="Hyperlink" xfId="6484" builtinId="8" hidden="1"/>
    <cellStyle name="Hyperlink" xfId="6236" builtinId="8" hidden="1"/>
    <cellStyle name="Hyperlink" xfId="6006" builtinId="8" hidden="1"/>
    <cellStyle name="Hyperlink" xfId="5769" builtinId="8" hidden="1"/>
    <cellStyle name="Hyperlink" xfId="5525" builtinId="8" hidden="1"/>
    <cellStyle name="Hyperlink" xfId="5275" builtinId="8" hidden="1"/>
    <cellStyle name="Hyperlink" xfId="7752" builtinId="8" hidden="1"/>
    <cellStyle name="Hyperlink" xfId="7294" builtinId="8" hidden="1"/>
    <cellStyle name="Hyperlink" xfId="7374" builtinId="8" hidden="1"/>
    <cellStyle name="Hyperlink" xfId="7452" builtinId="8" hidden="1"/>
    <cellStyle name="Hyperlink" xfId="7537" builtinId="8" hidden="1"/>
    <cellStyle name="Hyperlink" xfId="7611" builtinId="8" hidden="1"/>
    <cellStyle name="Hyperlink" xfId="7689" builtinId="8" hidden="1"/>
    <cellStyle name="Hyperlink" xfId="6970" builtinId="8" hidden="1"/>
    <cellStyle name="Hyperlink" xfId="7046" builtinId="8" hidden="1"/>
    <cellStyle name="Hyperlink" xfId="7122" builtinId="8" hidden="1"/>
    <cellStyle name="Hyperlink" xfId="7202" builtinId="8" hidden="1"/>
    <cellStyle name="Hyperlink" xfId="6898" builtinId="8" hidden="1"/>
    <cellStyle name="Hyperlink" xfId="6789" builtinId="8" hidden="1"/>
    <cellStyle name="Hyperlink" xfId="6779" builtinId="8" hidden="1"/>
    <cellStyle name="Hyperlink" xfId="6962" builtinId="8" hidden="1"/>
    <cellStyle name="Hyperlink" xfId="7112" builtinId="8" hidden="1"/>
    <cellStyle name="Hyperlink" xfId="7677" builtinId="8" hidden="1"/>
    <cellStyle name="Hyperlink" xfId="7442" builtinId="8" hidden="1"/>
    <cellStyle name="Hyperlink" xfId="7922" builtinId="8" hidden="1"/>
    <cellStyle name="Hyperlink" xfId="5801" builtinId="8" hidden="1"/>
    <cellStyle name="Hyperlink" xfId="6516" builtinId="8" hidden="1"/>
    <cellStyle name="Hyperlink" xfId="7252" builtinId="8" hidden="1"/>
    <cellStyle name="Hyperlink" xfId="7980" builtinId="8" hidden="1"/>
    <cellStyle name="Hyperlink" xfId="7768" builtinId="8" hidden="1"/>
    <cellStyle name="Hyperlink" xfId="1982" builtinId="8" hidden="1"/>
    <cellStyle name="Hyperlink" xfId="2076" builtinId="8" hidden="1"/>
    <cellStyle name="Hyperlink" xfId="2785" builtinId="8" hidden="1"/>
    <cellStyle name="Hyperlink" xfId="2559" builtinId="8" hidden="1"/>
    <cellStyle name="Hyperlink" xfId="2340" builtinId="8" hidden="1"/>
    <cellStyle name="Hyperlink" xfId="2117" builtinId="8" hidden="1"/>
    <cellStyle name="Hyperlink" xfId="1890" builtinId="8" hidden="1"/>
    <cellStyle name="Hyperlink" xfId="1670" builtinId="8" hidden="1"/>
    <cellStyle name="Hyperlink" xfId="1447" builtinId="8" hidden="1"/>
    <cellStyle name="Hyperlink" xfId="2967" builtinId="8" hidden="1"/>
    <cellStyle name="Hyperlink" xfId="3748" builtinId="8" hidden="1"/>
    <cellStyle name="Hyperlink" xfId="4527" builtinId="8" hidden="1"/>
    <cellStyle name="Hyperlink" xfId="1297" builtinId="8" hidden="1"/>
    <cellStyle name="Hyperlink" xfId="302" builtinId="8" hidden="1"/>
    <cellStyle name="Hyperlink" xfId="485" builtinId="8" hidden="1"/>
    <cellStyle name="Hyperlink" xfId="1756" builtinId="8" hidden="1"/>
    <cellStyle name="Hyperlink" xfId="7577" builtinId="8" hidden="1"/>
    <cellStyle name="Hyperlink" xfId="5077" builtinId="8" hidden="1"/>
    <cellStyle name="Hyperlink" xfId="5861" builtinId="8" hidden="1"/>
    <cellStyle name="Hyperlink" xfId="6633" builtinId="8" hidden="1"/>
    <cellStyle name="Hyperlink" xfId="4011" builtinId="8" hidden="1"/>
    <cellStyle name="Hyperlink" xfId="3397" builtinId="8" hidden="1"/>
    <cellStyle name="Hyperlink" xfId="2907" builtinId="8" hidden="1"/>
    <cellStyle name="Hyperlink" xfId="3208" builtinId="8" hidden="1"/>
    <cellStyle name="Hyperlink" xfId="3567" builtinId="8" hidden="1"/>
    <cellStyle name="Hyperlink" xfId="3335" builtinId="8" hidden="1"/>
    <cellStyle name="Hyperlink" xfId="4426" builtinId="8" hidden="1"/>
    <cellStyle name="Hyperlink" xfId="4186" builtinId="8" hidden="1"/>
    <cellStyle name="Hyperlink" xfId="3947" builtinId="8" hidden="1"/>
    <cellStyle name="Hyperlink" xfId="3696" builtinId="8" hidden="1"/>
    <cellStyle name="Hyperlink" xfId="1266" builtinId="8" hidden="1"/>
    <cellStyle name="Hyperlink" xfId="3596" builtinId="8" hidden="1"/>
    <cellStyle name="Hyperlink" xfId="4366" builtinId="8" hidden="1"/>
    <cellStyle name="Hyperlink" xfId="5163" builtinId="8" hidden="1"/>
    <cellStyle name="Hyperlink" xfId="5937" builtinId="8" hidden="1"/>
    <cellStyle name="Hyperlink" xfId="6695" builtinId="8" hidden="1"/>
    <cellStyle name="Hyperlink" xfId="7462" builtinId="8" hidden="1"/>
    <cellStyle name="Hyperlink" xfId="7904" builtinId="8" hidden="1"/>
    <cellStyle name="Hyperlink" xfId="7651" builtinId="8" hidden="1"/>
    <cellStyle name="Hyperlink" xfId="7392" builtinId="8" hidden="1"/>
    <cellStyle name="Hyperlink" xfId="7126" builtinId="8" hidden="1"/>
    <cellStyle name="Hyperlink" xfId="6870" builtinId="8" hidden="1"/>
    <cellStyle name="Hyperlink" xfId="4565" builtinId="8" hidden="1"/>
    <cellStyle name="Hyperlink" xfId="4637" builtinId="8" hidden="1"/>
    <cellStyle name="Hyperlink" xfId="4715" builtinId="8" hidden="1"/>
    <cellStyle name="Hyperlink" xfId="4793" builtinId="8" hidden="1"/>
    <cellStyle name="Hyperlink" xfId="4868" builtinId="8" hidden="1"/>
    <cellStyle name="Hyperlink" xfId="4946" builtinId="8" hidden="1"/>
    <cellStyle name="Hyperlink" xfId="5020" builtinId="8" hidden="1"/>
    <cellStyle name="Hyperlink" xfId="5089" builtinId="8" hidden="1"/>
    <cellStyle name="Hyperlink" xfId="5165" builtinId="8" hidden="1"/>
    <cellStyle name="Hyperlink" xfId="5239" builtinId="8" hidden="1"/>
    <cellStyle name="Hyperlink" xfId="5313" builtinId="8" hidden="1"/>
    <cellStyle name="Hyperlink" xfId="5387" builtinId="8" hidden="1"/>
    <cellStyle name="Hyperlink" xfId="5465" builtinId="8" hidden="1"/>
    <cellStyle name="Hyperlink" xfId="5537" builtinId="8" hidden="1"/>
    <cellStyle name="Hyperlink" xfId="5611" builtinId="8" hidden="1"/>
    <cellStyle name="Hyperlink" xfId="5686" builtinId="8" hidden="1"/>
    <cellStyle name="Hyperlink" xfId="5767" builtinId="8" hidden="1"/>
    <cellStyle name="Hyperlink" xfId="5839" builtinId="8" hidden="1"/>
    <cellStyle name="Hyperlink" xfId="5915" builtinId="8" hidden="1"/>
    <cellStyle name="Hyperlink" xfId="5986" builtinId="8" hidden="1"/>
    <cellStyle name="Hyperlink" xfId="6060" builtinId="8" hidden="1"/>
    <cellStyle name="Hyperlink" xfId="6132" builtinId="8" hidden="1"/>
    <cellStyle name="Hyperlink" xfId="6204" builtinId="8" hidden="1"/>
    <cellStyle name="Hyperlink" xfId="6272" builtinId="8" hidden="1"/>
    <cellStyle name="Hyperlink" xfId="6344" builtinId="8" hidden="1"/>
    <cellStyle name="Hyperlink" xfId="6418" builtinId="8" hidden="1"/>
    <cellStyle name="Hyperlink" xfId="6498" builtinId="8" hidden="1"/>
    <cellStyle name="Hyperlink" xfId="6572" builtinId="8" hidden="1"/>
    <cellStyle name="Hyperlink" xfId="6645" builtinId="8" hidden="1"/>
    <cellStyle name="Hyperlink" xfId="6721" builtinId="8" hidden="1"/>
    <cellStyle name="Hyperlink" xfId="6240" builtinId="8" hidden="1"/>
    <cellStyle name="Hyperlink" xfId="5741" builtinId="8" hidden="1"/>
    <cellStyle name="Hyperlink" xfId="5223" builtinId="8" hidden="1"/>
    <cellStyle name="Hyperlink" xfId="6659" builtinId="8" hidden="1"/>
    <cellStyle name="Hyperlink" xfId="6146" builtinId="8" hidden="1"/>
    <cellStyle name="Hyperlink" xfId="5623" builtinId="8" hidden="1"/>
    <cellStyle name="Hyperlink" xfId="5103" builtinId="8" hidden="1"/>
    <cellStyle name="Hyperlink" xfId="4577" builtinId="8" hidden="1"/>
    <cellStyle name="Hyperlink" xfId="6523" builtinId="8" hidden="1"/>
    <cellStyle name="Hyperlink" xfId="173" builtinId="8" hidden="1"/>
    <cellStyle name="Hyperlink" xfId="233" builtinId="8" hidden="1"/>
    <cellStyle name="Hyperlink" xfId="83" builtinId="8" hidden="1"/>
    <cellStyle name="Hyperlink" xfId="35" builtinId="8" hidden="1"/>
    <cellStyle name="Hyperlink" xfId="3" builtinId="8" hidden="1"/>
    <cellStyle name="Hyperlink" xfId="245" builtinId="8" hidden="1"/>
    <cellStyle name="Hyperlink" xfId="509" builtinId="8" hidden="1"/>
    <cellStyle name="Hyperlink" xfId="326" builtinId="8" hidden="1"/>
    <cellStyle name="Hyperlink" xfId="1134" builtinId="8" hidden="1"/>
    <cellStyle name="Hyperlink" xfId="935" builtinId="8" hidden="1"/>
    <cellStyle name="Hyperlink" xfId="746" builtinId="8" hidden="1"/>
    <cellStyle name="Hyperlink" xfId="1473" builtinId="8" hidden="1"/>
    <cellStyle name="Hyperlink" xfId="2883" builtinId="8" hidden="1"/>
    <cellStyle name="Hyperlink" xfId="2679" builtinId="8" hidden="1"/>
    <cellStyle name="Hyperlink" xfId="2469" builtinId="8" hidden="1"/>
    <cellStyle name="Hyperlink" xfId="2252" builtinId="8" hidden="1"/>
    <cellStyle name="Hyperlink" xfId="2038" builtinId="8" hidden="1"/>
    <cellStyle name="Hyperlink" xfId="1838" builtinId="8" hidden="1"/>
    <cellStyle name="Hyperlink" xfId="1628" builtinId="8" hidden="1"/>
    <cellStyle name="Hyperlink" xfId="1421" builtinId="8" hidden="1"/>
    <cellStyle name="Hyperlink" xfId="139" builtinId="8" hidden="1"/>
    <cellStyle name="Hyperlink" xfId="1096" builtinId="8" hidden="1"/>
    <cellStyle name="Hyperlink" xfId="1162" builtinId="8" hidden="1"/>
    <cellStyle name="Hyperlink" xfId="1226" builtinId="8" hidden="1"/>
    <cellStyle name="Hyperlink" xfId="283" builtinId="8" hidden="1"/>
    <cellStyle name="Hyperlink" xfId="346" builtinId="8" hidden="1"/>
    <cellStyle name="Hyperlink" xfId="409" builtinId="8" hidden="1"/>
    <cellStyle name="Hyperlink" xfId="467" builtinId="8" hidden="1"/>
    <cellStyle name="Hyperlink" xfId="531" builtinId="8" hidden="1"/>
    <cellStyle name="Hyperlink" xfId="395" builtinId="8" hidden="1"/>
    <cellStyle name="Hyperlink" xfId="810" builtinId="8" hidden="1"/>
    <cellStyle name="Hyperlink" xfId="870" builtinId="8" hidden="1"/>
    <cellStyle name="Hyperlink" xfId="937" builtinId="8" hidden="1"/>
    <cellStyle name="Hyperlink" xfId="1000" builtinId="8" hidden="1"/>
    <cellStyle name="Hyperlink" xfId="1060" builtinId="8" hidden="1"/>
    <cellStyle name="Hyperlink" xfId="716" builtinId="8" hidden="1"/>
    <cellStyle name="Hyperlink" xfId="774" builtinId="8" hidden="1"/>
    <cellStyle name="Hyperlink" xfId="636" builtinId="8" hidden="1"/>
    <cellStyle name="Hyperlink" xfId="1425" builtinId="8" hidden="1"/>
    <cellStyle name="Hyperlink" xfId="1518" builtinId="8" hidden="1"/>
    <cellStyle name="Hyperlink" xfId="593" builtinId="8" hidden="1"/>
    <cellStyle name="Hyperlink" xfId="1329" builtinId="8" hidden="1"/>
    <cellStyle name="Hyperlink" xfId="644" builtinId="8" hidden="1"/>
    <cellStyle name="Hyperlink" xfId="624" builtinId="8" hidden="1"/>
    <cellStyle name="Hyperlink" xfId="602" builtinId="8" hidden="1"/>
    <cellStyle name="Hyperlink" xfId="784" builtinId="8" hidden="1"/>
    <cellStyle name="Hyperlink" xfId="764" builtinId="8" hidden="1"/>
    <cellStyle name="Hyperlink" xfId="740" builtinId="8" hidden="1"/>
    <cellStyle name="Hyperlink" xfId="724" builtinId="8" hidden="1"/>
    <cellStyle name="Hyperlink" xfId="704" builtinId="8" hidden="1"/>
    <cellStyle name="Hyperlink" xfId="682" builtinId="8" hidden="1"/>
    <cellStyle name="Hyperlink" xfId="662" builtinId="8" hidden="1"/>
    <cellStyle name="Hyperlink" xfId="1050" builtinId="8" hidden="1"/>
    <cellStyle name="Hyperlink" xfId="1026" builtinId="8" hidden="1"/>
    <cellStyle name="Hyperlink" xfId="1008" builtinId="8" hidden="1"/>
    <cellStyle name="Hyperlink" xfId="990" builtinId="8" hidden="1"/>
    <cellStyle name="Hyperlink" xfId="965" builtinId="8" hidden="1"/>
    <cellStyle name="Hyperlink" xfId="947" builtinId="8" hidden="1"/>
    <cellStyle name="Hyperlink" xfId="925" builtinId="8" hidden="1"/>
    <cellStyle name="Hyperlink" xfId="899" builtinId="8" hidden="1"/>
    <cellStyle name="Hyperlink" xfId="878" builtinId="8" hidden="1"/>
    <cellStyle name="Hyperlink" xfId="860" builtinId="8" hidden="1"/>
    <cellStyle name="Hyperlink" xfId="836" builtinId="8" hidden="1"/>
    <cellStyle name="Hyperlink" xfId="818" builtinId="8" hidden="1"/>
    <cellStyle name="Hyperlink" xfId="798" builtinId="8" hidden="1"/>
    <cellStyle name="Hyperlink" xfId="505" builtinId="8" hidden="1"/>
    <cellStyle name="Hyperlink" xfId="143" builtinId="8" hidden="1"/>
    <cellStyle name="Hyperlink" xfId="577" builtinId="8" hidden="1"/>
    <cellStyle name="Hyperlink" xfId="555" builtinId="8" hidden="1"/>
    <cellStyle name="Hyperlink" xfId="539" builtinId="8" hidden="1"/>
    <cellStyle name="Hyperlink" xfId="519" builtinId="8" hidden="1"/>
    <cellStyle name="Hyperlink" xfId="495" builtinId="8" hidden="1"/>
    <cellStyle name="Hyperlink" xfId="475" builtinId="8" hidden="1"/>
    <cellStyle name="Hyperlink" xfId="455" builtinId="8" hidden="1"/>
    <cellStyle name="Hyperlink" xfId="433" builtinId="8" hidden="1"/>
    <cellStyle name="Hyperlink" xfId="417" builtinId="8" hidden="1"/>
    <cellStyle name="Hyperlink" xfId="399" builtinId="8" hidden="1"/>
    <cellStyle name="Hyperlink" xfId="372" builtinId="8" hidden="1"/>
    <cellStyle name="Hyperlink" xfId="354" builtinId="8" hidden="1"/>
    <cellStyle name="Hyperlink" xfId="334" builtinId="8" hidden="1"/>
    <cellStyle name="Hyperlink" xfId="312" builtinId="8" hidden="1"/>
    <cellStyle name="Hyperlink" xfId="291" builtinId="8" hidden="1"/>
    <cellStyle name="Hyperlink" xfId="712" builtinId="8" hidden="1"/>
    <cellStyle name="Hyperlink" xfId="1100" builtinId="8" hidden="1"/>
    <cellStyle name="Hyperlink" xfId="1236" builtinId="8" hidden="1"/>
    <cellStyle name="Hyperlink" xfId="1216" builtinId="8" hidden="1"/>
    <cellStyle name="Hyperlink" xfId="1188" builtinId="8" hidden="1"/>
    <cellStyle name="Hyperlink" xfId="1172" builtinId="8" hidden="1"/>
    <cellStyle name="Hyperlink" xfId="1152" builtinId="8" hidden="1"/>
    <cellStyle name="Hyperlink" xfId="1126" builtinId="8" hidden="1"/>
    <cellStyle name="Hyperlink" xfId="1106" builtinId="8" hidden="1"/>
    <cellStyle name="Hyperlink" xfId="1086" builtinId="8" hidden="1"/>
    <cellStyle name="Hyperlink" xfId="1062" builtinId="8" hidden="1"/>
    <cellStyle name="Hyperlink" xfId="29" builtinId="8" hidden="1"/>
    <cellStyle name="Hyperlink" xfId="1056" builtinId="8" hidden="1"/>
    <cellStyle name="Hyperlink" xfId="2459" builtinId="8" hidden="1"/>
    <cellStyle name="Hyperlink" xfId="1485" builtinId="8" hidden="1"/>
    <cellStyle name="Hyperlink" xfId="1459" builtinId="8" hidden="1"/>
    <cellStyle name="Hyperlink" xfId="1546" builtinId="8" hidden="1"/>
    <cellStyle name="Hyperlink" xfId="1602" builtinId="8" hidden="1"/>
    <cellStyle name="Hyperlink" xfId="1666" builtinId="8" hidden="1"/>
    <cellStyle name="Hyperlink" xfId="1748" builtinId="8" hidden="1"/>
    <cellStyle name="Hyperlink" xfId="1810" builtinId="8" hidden="1"/>
    <cellStyle name="Hyperlink" xfId="1882" builtinId="8" hidden="1"/>
    <cellStyle name="Hyperlink" xfId="1956" builtinId="8" hidden="1"/>
    <cellStyle name="Hyperlink" xfId="2020" builtinId="8" hidden="1"/>
    <cellStyle name="Hyperlink" xfId="2097" builtinId="8" hidden="1"/>
    <cellStyle name="Hyperlink" xfId="2170" builtinId="8" hidden="1"/>
    <cellStyle name="Hyperlink" xfId="2226" builtinId="8" hidden="1"/>
    <cellStyle name="Hyperlink" xfId="2298" builtinId="8" hidden="1"/>
    <cellStyle name="Hyperlink" xfId="2372" builtinId="8" hidden="1"/>
    <cellStyle name="Hyperlink" xfId="2433" builtinId="8" hidden="1"/>
    <cellStyle name="Hyperlink" xfId="2505" builtinId="8" hidden="1"/>
    <cellStyle name="Hyperlink" xfId="2579" builtinId="8" hidden="1"/>
    <cellStyle name="Hyperlink" xfId="2643" builtinId="8" hidden="1"/>
    <cellStyle name="Hyperlink" xfId="2715" builtinId="8" hidden="1"/>
    <cellStyle name="Hyperlink" xfId="2791" builtinId="8" hidden="1"/>
    <cellStyle name="Hyperlink" xfId="2865" builtinId="8" hidden="1"/>
    <cellStyle name="Hyperlink" xfId="2685" builtinId="8" hidden="1"/>
    <cellStyle name="Hyperlink" xfId="2176" builtinId="8" hidden="1"/>
    <cellStyle name="Hyperlink" xfId="1662" builtinId="8" hidden="1"/>
    <cellStyle name="Hyperlink" xfId="585" builtinId="8" hidden="1"/>
    <cellStyle name="Hyperlink" xfId="652" builtinId="8" hidden="1"/>
    <cellStyle name="Hyperlink" xfId="720" builtinId="8" hidden="1"/>
    <cellStyle name="Hyperlink" xfId="780" builtinId="8" hidden="1"/>
    <cellStyle name="Hyperlink" xfId="848" builtinId="8" hidden="1"/>
    <cellStyle name="Hyperlink" xfId="919" builtinId="8" hidden="1"/>
    <cellStyle name="Hyperlink" xfId="969" builtinId="8" hidden="1"/>
    <cellStyle name="Hyperlink" xfId="1040" builtinId="8" hidden="1"/>
    <cellStyle name="Hyperlink" xfId="1108" builtinId="8" hidden="1"/>
    <cellStyle name="Hyperlink" xfId="1168" builtinId="8" hidden="1"/>
    <cellStyle name="Hyperlink" xfId="1200" builtinId="8" hidden="1"/>
    <cellStyle name="Hyperlink" xfId="297" builtinId="8" hidden="1"/>
    <cellStyle name="Hyperlink" xfId="360" builtinId="8" hidden="1"/>
    <cellStyle name="Hyperlink" xfId="435" builtinId="8" hidden="1"/>
    <cellStyle name="Hyperlink" xfId="493" builtinId="8" hidden="1"/>
    <cellStyle name="Hyperlink" xfId="543" builtinId="8" hidden="1"/>
    <cellStyle name="Hyperlink" xfId="171" builtinId="8" hidden="1"/>
    <cellStyle name="Hyperlink" xfId="221" builtinId="8" hidden="1"/>
    <cellStyle name="Hyperlink" xfId="277" builtinId="8" hidden="1"/>
    <cellStyle name="Hyperlink" xfId="137" builtinId="8" hidden="1"/>
    <cellStyle name="Hyperlink" xfId="11" builtinId="8" hidden="1"/>
    <cellStyle name="Hyperlink" xfId="9" builtinId="8" hidden="1"/>
    <cellStyle name="Hyperlink" xfId="59" builtinId="8" hidden="1"/>
    <cellStyle name="Hyperlink" xfId="41" builtinId="8" hidden="1"/>
    <cellStyle name="Hyperlink" xfId="133" builtinId="8" hidden="1"/>
    <cellStyle name="Hyperlink" xfId="107" builtinId="8" hidden="1"/>
    <cellStyle name="Hyperlink" xfId="91" builtinId="8" hidden="1"/>
    <cellStyle name="Hyperlink" xfId="197" builtinId="8" hidden="1"/>
    <cellStyle name="Hyperlink" xfId="259" builtinId="8" hidden="1"/>
    <cellStyle name="Hyperlink" xfId="241" builtinId="8" hidden="1"/>
    <cellStyle name="Hyperlink" xfId="219" builtinId="8" hidden="1"/>
    <cellStyle name="Hyperlink" xfId="199" builtinId="8" hidden="1"/>
    <cellStyle name="Hyperlink" xfId="177" builtinId="8" hidden="1"/>
    <cellStyle name="Hyperlink" xfId="1385" builtinId="8" hidden="1"/>
    <cellStyle name="Hyperlink" xfId="3570" builtinId="8" hidden="1"/>
    <cellStyle name="Hyperlink" xfId="6158" builtinId="8" hidden="1"/>
    <cellStyle name="Hyperlink" xfId="7844" builtinId="8" hidden="1"/>
    <cellStyle name="Hyperlink" xfId="4575" builtinId="8" hidden="1"/>
    <cellStyle name="Hyperlink" xfId="4623" builtinId="8" hidden="1"/>
    <cellStyle name="Hyperlink" xfId="4671" builtinId="8" hidden="1"/>
    <cellStyle name="Hyperlink" xfId="4773" builtinId="8" hidden="1"/>
    <cellStyle name="Hyperlink" xfId="4821" builtinId="8" hidden="1"/>
    <cellStyle name="Hyperlink" xfId="4966" builtinId="8" hidden="1"/>
    <cellStyle name="Hyperlink" xfId="5022" builtinId="8" hidden="1"/>
    <cellStyle name="Hyperlink" xfId="5059" builtinId="8" hidden="1"/>
    <cellStyle name="Hyperlink" xfId="5155" builtinId="8" hidden="1"/>
    <cellStyle name="Hyperlink" xfId="5211" builtinId="8" hidden="1"/>
    <cellStyle name="Hyperlink" xfId="5267" builtinId="8" hidden="1"/>
    <cellStyle name="Hyperlink" xfId="620" builtinId="8" hidden="1"/>
    <cellStyle name="Hyperlink" xfId="708" builtinId="8" hidden="1"/>
    <cellStyle name="Hyperlink" xfId="800" builtinId="8" hidden="1"/>
    <cellStyle name="Hyperlink" xfId="846" builtinId="8" hidden="1"/>
    <cellStyle name="Hyperlink" xfId="892" builtinId="8" hidden="1"/>
    <cellStyle name="Hyperlink" xfId="986" builtinId="8" hidden="1"/>
    <cellStyle name="Hyperlink" xfId="1032" builtinId="8" hidden="1"/>
    <cellStyle name="Hyperlink" xfId="1078" builtinId="8" hidden="1"/>
    <cellStyle name="Hyperlink" xfId="1218" builtinId="8" hidden="1"/>
    <cellStyle name="Hyperlink" xfId="972" builtinId="8" hidden="1"/>
    <cellStyle name="Hyperlink" xfId="348" builtinId="8" hidden="1"/>
    <cellStyle name="Hyperlink" xfId="391" builtinId="8" hidden="1"/>
    <cellStyle name="Hyperlink" xfId="437" builtinId="8" hidden="1"/>
    <cellStyle name="Hyperlink" xfId="525" builtinId="8" hidden="1"/>
    <cellStyle name="Hyperlink" xfId="569" builtinId="8" hidden="1"/>
    <cellStyle name="Hyperlink" xfId="247" builtinId="8" hidden="1"/>
    <cellStyle name="Hyperlink" xfId="77" builtinId="8" hidden="1"/>
    <cellStyle name="Hyperlink" xfId="119" builtinId="8" hidden="1"/>
    <cellStyle name="Hyperlink" xfId="1" builtinId="8" hidden="1"/>
    <cellStyle name="Hyperlink" xfId="81" builtinId="8" hidden="1"/>
    <cellStyle name="Hyperlink" xfId="163" builtinId="8" hidden="1"/>
    <cellStyle name="Hyperlink" xfId="352" builtinId="8" hidden="1"/>
    <cellStyle name="Hyperlink" xfId="1082" builtinId="8" hidden="1"/>
    <cellStyle name="Hyperlink" xfId="804" builtinId="8" hidden="1"/>
    <cellStyle name="Hyperlink" xfId="668" builtinId="8" hidden="1"/>
    <cellStyle name="Hyperlink" xfId="1598" builtinId="8" hidden="1"/>
    <cellStyle name="Hyperlink" xfId="2781" builtinId="8" hidden="1"/>
    <cellStyle name="Hyperlink" xfId="2633" builtinId="8" hidden="1"/>
    <cellStyle name="Hyperlink" xfId="2487" builtinId="8" hidden="1"/>
    <cellStyle name="Hyperlink" xfId="2048" builtinId="8" hidden="1"/>
    <cellStyle name="Hyperlink" xfId="1902" builtinId="8" hidden="1"/>
    <cellStyle name="Hyperlink" xfId="1610" builtinId="8" hidden="1"/>
    <cellStyle name="Hyperlink" xfId="1467" builtinId="8" hidden="1"/>
    <cellStyle name="Hyperlink" xfId="1321" builtinId="8" hidden="1"/>
    <cellStyle name="Hyperlink" xfId="3660" builtinId="8" hidden="1"/>
    <cellStyle name="Hyperlink" xfId="4174" builtinId="8" hidden="1"/>
    <cellStyle name="Hyperlink" xfId="5712" builtinId="8" hidden="1"/>
    <cellStyle name="Hyperlink" xfId="6222" builtinId="8" hidden="1"/>
    <cellStyle name="Hyperlink" xfId="6727" builtinId="8" hidden="1"/>
    <cellStyle name="Hyperlink" xfId="7748" builtinId="8" hidden="1"/>
    <cellStyle name="Hyperlink" xfId="7914" builtinId="8" hidden="1"/>
    <cellStyle name="Hyperlink" xfId="7744" builtinId="8" hidden="1"/>
    <cellStyle name="Hyperlink" xfId="7402" builtinId="8" hidden="1"/>
    <cellStyle name="Hyperlink" xfId="7062" builtinId="8" hidden="1"/>
    <cellStyle name="Hyperlink" xfId="4533" builtinId="8" hidden="1"/>
    <cellStyle name="Hyperlink" xfId="4585" builtinId="8" hidden="1"/>
    <cellStyle name="Hyperlink" xfId="4633" builtinId="8" hidden="1"/>
    <cellStyle name="Hyperlink" xfId="4731" builtinId="8" hidden="1"/>
    <cellStyle name="Hyperlink" xfId="4785" builtinId="8" hidden="1"/>
    <cellStyle name="Hyperlink" xfId="4834" builtinId="8" hidden="1"/>
    <cellStyle name="Hyperlink" xfId="4980" builtinId="8" hidden="1"/>
    <cellStyle name="Hyperlink" xfId="5028" builtinId="8" hidden="1"/>
    <cellStyle name="Hyperlink" xfId="5125" builtinId="8" hidden="1"/>
    <cellStyle name="Hyperlink" xfId="5173" builtinId="8" hidden="1"/>
    <cellStyle name="Hyperlink" xfId="5221" builtinId="8" hidden="1"/>
    <cellStyle name="Hyperlink" xfId="5319" builtinId="8" hidden="1"/>
    <cellStyle name="Hyperlink" xfId="5369" builtinId="8" hidden="1"/>
    <cellStyle name="Hyperlink" xfId="5515" builtinId="8" hidden="1"/>
    <cellStyle name="Hyperlink" xfId="5563" builtinId="8" hidden="1"/>
    <cellStyle name="Hyperlink" xfId="5615" builtinId="8" hidden="1"/>
    <cellStyle name="Hyperlink" xfId="5714" builtinId="8" hidden="1"/>
    <cellStyle name="Hyperlink" xfId="5765" builtinId="8" hidden="1"/>
    <cellStyle name="Hyperlink" xfId="5813" builtinId="8" hidden="1"/>
    <cellStyle name="Hyperlink" xfId="5909" builtinId="8" hidden="1"/>
    <cellStyle name="Hyperlink" xfId="6004" builtinId="8" hidden="1"/>
    <cellStyle name="Hyperlink" xfId="6104" builtinId="8" hidden="1"/>
    <cellStyle name="Hyperlink" xfId="6152" builtinId="8" hidden="1"/>
    <cellStyle name="Hyperlink" xfId="6200" builtinId="8" hidden="1"/>
    <cellStyle name="Hyperlink" xfId="6288" builtinId="8" hidden="1"/>
    <cellStyle name="Hyperlink" xfId="6336" builtinId="8" hidden="1"/>
    <cellStyle name="Hyperlink" xfId="6384" builtinId="8" hidden="1"/>
    <cellStyle name="Hyperlink" xfId="6532" builtinId="8" hidden="1"/>
    <cellStyle name="Hyperlink" xfId="6580" builtinId="8" hidden="1"/>
    <cellStyle name="Hyperlink" xfId="6681" builtinId="8" hidden="1"/>
    <cellStyle name="Hyperlink" xfId="6713" builtinId="8" hidden="1"/>
    <cellStyle name="Hyperlink" xfId="6368" builtinId="8" hidden="1"/>
    <cellStyle name="Hyperlink" xfId="5698" builtinId="8" hidden="1"/>
    <cellStyle name="Hyperlink" xfId="5353" builtinId="8" hidden="1"/>
    <cellStyle name="Hyperlink" xfId="3688" builtinId="8" hidden="1"/>
    <cellStyle name="Hyperlink" xfId="3734" builtinId="8" hidden="1"/>
    <cellStyle name="Hyperlink" xfId="3778" builtinId="8" hidden="1"/>
    <cellStyle name="Hyperlink" xfId="3874" builtinId="8" hidden="1"/>
    <cellStyle name="Hyperlink" xfId="3918" builtinId="8" hidden="1"/>
    <cellStyle name="Hyperlink" xfId="3965" builtinId="8" hidden="1"/>
    <cellStyle name="Hyperlink" xfId="4059" builtinId="8" hidden="1"/>
    <cellStyle name="Hyperlink" xfId="4149" builtinId="8" hidden="1"/>
    <cellStyle name="Hyperlink" xfId="4236" builtinId="8" hidden="1"/>
    <cellStyle name="Hyperlink" xfId="4282" builtinId="8" hidden="1"/>
    <cellStyle name="Hyperlink" xfId="4328" builtinId="8" hidden="1"/>
    <cellStyle name="Hyperlink" xfId="4418" builtinId="8" hidden="1"/>
    <cellStyle name="Hyperlink" xfId="2749" builtinId="8" hidden="1"/>
    <cellStyle name="Hyperlink" xfId="4499" builtinId="8" hidden="1"/>
    <cellStyle name="Hyperlink" xfId="3309" builtinId="8" hidden="1"/>
    <cellStyle name="Hyperlink" xfId="3353" builtinId="8" hidden="1"/>
    <cellStyle name="Hyperlink" xfId="3441" builtinId="8" hidden="1"/>
    <cellStyle name="Hyperlink" xfId="3485" builtinId="8" hidden="1"/>
    <cellStyle name="Hyperlink" xfId="3529" builtinId="8" hidden="1"/>
    <cellStyle name="Hyperlink" xfId="3618" builtinId="8" hidden="1"/>
    <cellStyle name="Hyperlink" xfId="3582" builtinId="8" hidden="1"/>
    <cellStyle name="Hyperlink" xfId="3200" builtinId="8" hidden="1"/>
    <cellStyle name="Hyperlink" xfId="3242" builtinId="8" hidden="1"/>
    <cellStyle name="Hyperlink" xfId="3001" builtinId="8" hidden="1"/>
    <cellStyle name="Hyperlink" xfId="2939" builtinId="8" hidden="1"/>
    <cellStyle name="Hyperlink" xfId="2915" builtinId="8" hidden="1"/>
    <cellStyle name="Hyperlink" xfId="2891" builtinId="8" hidden="1"/>
    <cellStyle name="Hyperlink" xfId="2923" builtinId="8" hidden="1"/>
    <cellStyle name="Hyperlink" xfId="2963" builtinId="8" hidden="1"/>
    <cellStyle name="Hyperlink" xfId="2933" builtinId="8" hidden="1"/>
    <cellStyle name="Hyperlink" xfId="3068" builtinId="8" hidden="1"/>
    <cellStyle name="Hyperlink" xfId="3051" builtinId="8" hidden="1"/>
    <cellStyle name="Hyperlink" xfId="3025" builtinId="8" hidden="1"/>
    <cellStyle name="Hyperlink" xfId="3009" builtinId="8" hidden="1"/>
    <cellStyle name="Hyperlink" xfId="2995" builtinId="8" hidden="1"/>
    <cellStyle name="Hyperlink" xfId="3236" builtinId="8" hidden="1"/>
    <cellStyle name="Hyperlink" xfId="3224" builtinId="8" hidden="1"/>
    <cellStyle name="Hyperlink" xfId="3194" builtinId="8" hidden="1"/>
    <cellStyle name="Hyperlink" xfId="3180" builtinId="8" hidden="1"/>
    <cellStyle name="Hyperlink" xfId="3164" builtinId="8" hidden="1"/>
    <cellStyle name="Hyperlink" xfId="3136" builtinId="8" hidden="1"/>
    <cellStyle name="Hyperlink" xfId="3120" builtinId="8" hidden="1"/>
    <cellStyle name="Hyperlink" xfId="3325" builtinId="8" hidden="1"/>
    <cellStyle name="Hyperlink" xfId="3656" builtinId="8" hidden="1"/>
    <cellStyle name="Hyperlink" xfId="3642" builtinId="8" hidden="1"/>
    <cellStyle name="Hyperlink" xfId="3614" builtinId="8" hidden="1"/>
    <cellStyle name="Hyperlink" xfId="3600" builtinId="8" hidden="1"/>
    <cellStyle name="Hyperlink" xfId="3584" builtinId="8" hidden="1"/>
    <cellStyle name="Hyperlink" xfId="3553" builtinId="8" hidden="1"/>
    <cellStyle name="Hyperlink" xfId="3525" builtinId="8" hidden="1"/>
    <cellStyle name="Hyperlink" xfId="3493" builtinId="8" hidden="1"/>
    <cellStyle name="Hyperlink" xfId="3479" builtinId="8" hidden="1"/>
    <cellStyle name="Hyperlink" xfId="3465" builtinId="8" hidden="1"/>
    <cellStyle name="Hyperlink" xfId="3437" builtinId="8" hidden="1"/>
    <cellStyle name="Hyperlink" xfId="3423" builtinId="8" hidden="1"/>
    <cellStyle name="Hyperlink" xfId="3405" builtinId="8" hidden="1"/>
    <cellStyle name="Hyperlink" xfId="3361" builtinId="8" hidden="1"/>
    <cellStyle name="Hyperlink" xfId="3349" builtinId="8" hidden="1"/>
    <cellStyle name="Hyperlink" xfId="3317" builtinId="8" hidden="1"/>
    <cellStyle name="Hyperlink" xfId="3303" builtinId="8" hidden="1"/>
    <cellStyle name="Hyperlink" xfId="3289" builtinId="8" hidden="1"/>
    <cellStyle name="Hyperlink" xfId="3710" builtinId="8" hidden="1"/>
    <cellStyle name="Hyperlink" xfId="3926" builtinId="8" hidden="1"/>
    <cellStyle name="Hyperlink" xfId="4529" builtinId="8" hidden="1"/>
    <cellStyle name="Hyperlink" xfId="4507" builtinId="8" hidden="1"/>
    <cellStyle name="Hyperlink" xfId="4495" builtinId="8" hidden="1"/>
    <cellStyle name="Hyperlink" xfId="4463" builtinId="8" hidden="1"/>
    <cellStyle name="Hyperlink" xfId="4458" builtinId="8" hidden="1"/>
    <cellStyle name="Hyperlink" xfId="4444" builtinId="8" hidden="1"/>
    <cellStyle name="Hyperlink" xfId="4412" builtinId="8" hidden="1"/>
    <cellStyle name="Hyperlink" xfId="4380" builtinId="8" hidden="1"/>
    <cellStyle name="Hyperlink" xfId="4354" builtinId="8" hidden="1"/>
    <cellStyle name="Hyperlink" xfId="4336" builtinId="8" hidden="1"/>
    <cellStyle name="Hyperlink" xfId="4322" builtinId="8" hidden="1"/>
    <cellStyle name="Hyperlink" xfId="4290" builtinId="8" hidden="1"/>
    <cellStyle name="Hyperlink" xfId="4276" builtinId="8" hidden="1"/>
    <cellStyle name="Hyperlink" xfId="4260" builtinId="8" hidden="1"/>
    <cellStyle name="Hyperlink" xfId="4216" builtinId="8" hidden="1"/>
    <cellStyle name="Hyperlink" xfId="4200" builtinId="8" hidden="1"/>
    <cellStyle name="Hyperlink" xfId="4170" builtinId="8" hidden="1"/>
    <cellStyle name="Hyperlink" xfId="4157" builtinId="8" hidden="1"/>
    <cellStyle name="Hyperlink" xfId="4143" builtinId="8" hidden="1"/>
    <cellStyle name="Hyperlink" xfId="4111" builtinId="8" hidden="1"/>
    <cellStyle name="Hyperlink" xfId="4095" builtinId="8" hidden="1"/>
    <cellStyle name="Hyperlink" xfId="4051" builtinId="8" hidden="1"/>
    <cellStyle name="Hyperlink" xfId="4037" builtinId="8" hidden="1"/>
    <cellStyle name="Hyperlink" xfId="4021" builtinId="8" hidden="1"/>
    <cellStyle name="Hyperlink" xfId="3991" builtinId="8" hidden="1"/>
    <cellStyle name="Hyperlink" xfId="3975" builtinId="8" hidden="1"/>
    <cellStyle name="Hyperlink" xfId="3959" builtinId="8" hidden="1"/>
    <cellStyle name="Hyperlink" xfId="3930" builtinId="8" hidden="1"/>
    <cellStyle name="Hyperlink" xfId="3900" builtinId="8" hidden="1"/>
    <cellStyle name="Hyperlink" xfId="3864" builtinId="8" hidden="1"/>
    <cellStyle name="Hyperlink" xfId="3850" builtinId="8" hidden="1"/>
    <cellStyle name="Hyperlink" xfId="3832" builtinId="8" hidden="1"/>
    <cellStyle name="Hyperlink" xfId="3806" builtinId="8" hidden="1"/>
    <cellStyle name="Hyperlink" xfId="3786" builtinId="8" hidden="1"/>
    <cellStyle name="Hyperlink" xfId="3774" builtinId="8" hidden="1"/>
    <cellStyle name="Hyperlink" xfId="3728" builtinId="8" hidden="1"/>
    <cellStyle name="Hyperlink" xfId="3714" builtinId="8" hidden="1"/>
    <cellStyle name="Hyperlink" xfId="3682" builtinId="8" hidden="1"/>
    <cellStyle name="Hyperlink" xfId="3670" builtinId="8" hidden="1"/>
    <cellStyle name="Hyperlink" xfId="4601" builtinId="8" hidden="1"/>
    <cellStyle name="Hyperlink" xfId="4819" builtinId="8" hidden="1"/>
    <cellStyle name="Hyperlink" xfId="4948" builtinId="8" hidden="1"/>
    <cellStyle name="Hyperlink" xfId="1367" builtinId="8" hidden="1"/>
    <cellStyle name="Hyperlink" xfId="1349" builtinId="8" hidden="1"/>
    <cellStyle name="Hyperlink" xfId="1339" builtinId="8" hidden="1"/>
    <cellStyle name="Hyperlink" xfId="1311" builtinId="8" hidden="1"/>
    <cellStyle name="Hyperlink" xfId="1303" builtinId="8" hidden="1"/>
    <cellStyle name="Hyperlink" xfId="1275" builtinId="8" hidden="1"/>
    <cellStyle name="Hyperlink" xfId="1256" builtinId="8" hidden="1"/>
    <cellStyle name="Hyperlink" xfId="2951" builtinId="8" hidden="1"/>
    <cellStyle name="Hyperlink" xfId="3054" builtinId="8" hidden="1"/>
    <cellStyle name="Hyperlink" xfId="3118" builtinId="8" hidden="1"/>
    <cellStyle name="Hyperlink" xfId="3182" builtinId="8" hidden="1"/>
    <cellStyle name="Hyperlink" xfId="3246" builtinId="8" hidden="1"/>
    <cellStyle name="Hyperlink" xfId="3307" builtinId="8" hidden="1"/>
    <cellStyle name="Hyperlink" xfId="3339" builtinId="8" hidden="1"/>
    <cellStyle name="Hyperlink" xfId="3499" builtinId="8" hidden="1"/>
    <cellStyle name="Hyperlink" xfId="3563" builtinId="8" hidden="1"/>
    <cellStyle name="Hyperlink" xfId="3628" builtinId="8" hidden="1"/>
    <cellStyle name="Hyperlink" xfId="3692" builtinId="8" hidden="1"/>
    <cellStyle name="Hyperlink" xfId="3724" builtinId="8" hidden="1"/>
    <cellStyle name="Hyperlink" xfId="3852" builtinId="8" hidden="1"/>
    <cellStyle name="Hyperlink" xfId="3888" builtinId="8" hidden="1"/>
    <cellStyle name="Hyperlink" xfId="4017" builtinId="8" hidden="1"/>
    <cellStyle name="Hyperlink" xfId="4081" builtinId="8" hidden="1"/>
    <cellStyle name="Hyperlink" xfId="4145" builtinId="8" hidden="1"/>
    <cellStyle name="Hyperlink" xfId="4238" builtinId="8" hidden="1"/>
    <cellStyle name="Hyperlink" xfId="4270" builtinId="8" hidden="1"/>
    <cellStyle name="Hyperlink" xfId="4334" builtinId="8" hidden="1"/>
    <cellStyle name="Hyperlink" xfId="4398" builtinId="8" hidden="1"/>
    <cellStyle name="Hyperlink" xfId="4517" builtinId="8" hidden="1"/>
    <cellStyle name="Hyperlink" xfId="4615" builtinId="8" hidden="1"/>
    <cellStyle name="Hyperlink" xfId="4647" builtinId="8" hidden="1"/>
    <cellStyle name="Hyperlink" xfId="4711" builtinId="8" hidden="1"/>
    <cellStyle name="Hyperlink" xfId="4846" builtinId="8" hidden="1"/>
    <cellStyle name="Hyperlink" xfId="4878" builtinId="8" hidden="1"/>
    <cellStyle name="Hyperlink" xfId="4910" builtinId="8" hidden="1"/>
    <cellStyle name="Hyperlink" xfId="5038" builtinId="8" hidden="1"/>
    <cellStyle name="Hyperlink" xfId="5099" builtinId="8" hidden="1"/>
    <cellStyle name="Hyperlink" xfId="5227" builtinId="8" hidden="1"/>
    <cellStyle name="Hyperlink" xfId="5259" builtinId="8" hidden="1"/>
    <cellStyle name="Hyperlink" xfId="5291" builtinId="8" hidden="1"/>
    <cellStyle name="Hyperlink" xfId="5389" builtinId="8" hidden="1"/>
    <cellStyle name="Hyperlink" xfId="5421" builtinId="8" hidden="1"/>
    <cellStyle name="Hyperlink" xfId="5613" builtinId="8" hidden="1"/>
    <cellStyle name="Hyperlink" xfId="5648" builtinId="8" hidden="1"/>
    <cellStyle name="Hyperlink" xfId="5680" builtinId="8" hidden="1"/>
    <cellStyle name="Hyperlink" xfId="5777" builtinId="8" hidden="1"/>
    <cellStyle name="Hyperlink" xfId="5873" builtinId="8" hidden="1"/>
    <cellStyle name="Hyperlink" xfId="5905" builtinId="8" hidden="1"/>
    <cellStyle name="Hyperlink" xfId="5998" builtinId="8" hidden="1"/>
    <cellStyle name="Hyperlink" xfId="6062" builtinId="8" hidden="1"/>
    <cellStyle name="Hyperlink" xfId="6190" builtinId="8" hidden="1"/>
    <cellStyle name="Hyperlink" xfId="6244" builtinId="8" hidden="1"/>
    <cellStyle name="Hyperlink" xfId="6276" builtinId="8" hidden="1"/>
    <cellStyle name="Hyperlink" xfId="6372" builtinId="8" hidden="1"/>
    <cellStyle name="Hyperlink" xfId="6404" builtinId="8" hidden="1"/>
    <cellStyle name="Hyperlink" xfId="6436" builtinId="8" hidden="1"/>
    <cellStyle name="Hyperlink" xfId="6631" builtinId="8" hidden="1"/>
    <cellStyle name="Hyperlink" xfId="6663" builtinId="8" hidden="1"/>
    <cellStyle name="Hyperlink" xfId="6759" builtinId="8" hidden="1"/>
    <cellStyle name="Hyperlink" xfId="6791" builtinId="8" hidden="1"/>
    <cellStyle name="Hyperlink" xfId="6884" builtinId="8" hidden="1"/>
    <cellStyle name="Hyperlink" xfId="6948" builtinId="8" hidden="1"/>
    <cellStyle name="Hyperlink" xfId="7012" builtinId="8" hidden="1"/>
    <cellStyle name="Hyperlink" xfId="7140" builtinId="8" hidden="1"/>
    <cellStyle name="Hyperlink" xfId="7204" builtinId="8" hidden="1"/>
    <cellStyle name="Hyperlink" xfId="7268" builtinId="8" hidden="1"/>
    <cellStyle name="Hyperlink" xfId="7332" builtinId="8" hidden="1"/>
    <cellStyle name="Hyperlink" xfId="7396" builtinId="8" hidden="1"/>
    <cellStyle name="Hyperlink" xfId="7430" builtinId="8" hidden="1"/>
    <cellStyle name="Hyperlink" xfId="7559" builtinId="8" hidden="1"/>
    <cellStyle name="Hyperlink" xfId="7655" builtinId="8" hidden="1"/>
    <cellStyle name="Hyperlink" xfId="7716" builtinId="8" hidden="1"/>
    <cellStyle name="Hyperlink" xfId="7780" builtinId="8" hidden="1"/>
    <cellStyle name="Hyperlink" xfId="7812" builtinId="8" hidden="1"/>
    <cellStyle name="Hyperlink" xfId="7940" builtinId="8" hidden="1"/>
    <cellStyle name="Hyperlink" xfId="7972" builtinId="8" hidden="1"/>
    <cellStyle name="Hyperlink" xfId="7990" builtinId="8" hidden="1"/>
    <cellStyle name="Hyperlink" xfId="7946" builtinId="8" hidden="1"/>
    <cellStyle name="Hyperlink" xfId="7926" builtinId="8" hidden="1"/>
    <cellStyle name="Hyperlink" xfId="7894" builtinId="8" hidden="1"/>
    <cellStyle name="Hyperlink" xfId="7882" builtinId="8" hidden="1"/>
    <cellStyle name="Hyperlink" xfId="7862" builtinId="8" hidden="1"/>
    <cellStyle name="Hyperlink" xfId="7840" builtinId="8" hidden="1"/>
    <cellStyle name="Hyperlink" xfId="7808" builtinId="8" hidden="1"/>
    <cellStyle name="Hyperlink" xfId="7766" builtinId="8" hidden="1"/>
    <cellStyle name="Hyperlink" xfId="7754" builtinId="8" hidden="1"/>
    <cellStyle name="Hyperlink" xfId="7734" builtinId="8" hidden="1"/>
    <cellStyle name="Hyperlink" xfId="7693" builtinId="8" hidden="1"/>
    <cellStyle name="Hyperlink" xfId="7683" builtinId="8" hidden="1"/>
    <cellStyle name="Hyperlink" xfId="7673" builtinId="8" hidden="1"/>
    <cellStyle name="Hyperlink" xfId="7641" builtinId="8" hidden="1"/>
    <cellStyle name="Hyperlink" xfId="7609" builtinId="8" hidden="1"/>
    <cellStyle name="Hyperlink" xfId="7565" builtinId="8" hidden="1"/>
    <cellStyle name="Hyperlink" xfId="7555" builtinId="8" hidden="1"/>
    <cellStyle name="Hyperlink" xfId="7545" builtinId="8" hidden="1"/>
    <cellStyle name="Hyperlink" xfId="7513" builtinId="8" hidden="1"/>
    <cellStyle name="Hyperlink" xfId="7501" builtinId="8" hidden="1"/>
    <cellStyle name="Hyperlink" xfId="7468" builtinId="8" hidden="1"/>
    <cellStyle name="Hyperlink" xfId="7426" builtinId="8" hidden="1"/>
    <cellStyle name="Hyperlink" xfId="7416" builtinId="8" hidden="1"/>
    <cellStyle name="Hyperlink" xfId="7382" builtinId="8" hidden="1"/>
    <cellStyle name="Hyperlink" xfId="7350" builtinId="8" hidden="1"/>
    <cellStyle name="Hyperlink" xfId="7338" builtinId="8" hidden="1"/>
    <cellStyle name="Hyperlink" xfId="7306" builtinId="8" hidden="1"/>
    <cellStyle name="Hyperlink" xfId="7296" builtinId="8" hidden="1"/>
    <cellStyle name="Hyperlink" xfId="7242" builtinId="8" hidden="1"/>
    <cellStyle name="Hyperlink" xfId="7222" builtinId="8" hidden="1"/>
    <cellStyle name="Hyperlink" xfId="7210" builtinId="8" hidden="1"/>
    <cellStyle name="Hyperlink" xfId="7178" builtinId="8" hidden="1"/>
    <cellStyle name="Hyperlink" xfId="7168" builtinId="8" hidden="1"/>
    <cellStyle name="Hyperlink" xfId="7158" builtinId="8" hidden="1"/>
    <cellStyle name="Hyperlink" xfId="7114" builtinId="8" hidden="1"/>
    <cellStyle name="Hyperlink" xfId="7082" builtinId="8" hidden="1"/>
    <cellStyle name="Hyperlink" xfId="7050" builtinId="8" hidden="1"/>
    <cellStyle name="Hyperlink" xfId="7040" builtinId="8" hidden="1"/>
    <cellStyle name="Hyperlink" xfId="7008" builtinId="8" hidden="1"/>
    <cellStyle name="Hyperlink" xfId="6986" builtinId="8" hidden="1"/>
    <cellStyle name="Hyperlink" xfId="6966" builtinId="8" hidden="1"/>
    <cellStyle name="Hyperlink" xfId="6954" builtinId="8" hidden="1"/>
    <cellStyle name="Hyperlink" xfId="6902" builtinId="8" hidden="1"/>
    <cellStyle name="Hyperlink" xfId="6880" builtinId="8" hidden="1"/>
    <cellStyle name="Hyperlink" xfId="6858" builtinId="8" hidden="1"/>
    <cellStyle name="Hyperlink" xfId="6838" builtinId="8" hidden="1"/>
    <cellStyle name="Hyperlink" xfId="6826" builtinId="8" hidden="1"/>
    <cellStyle name="Hyperlink" xfId="6787" builtinId="8" hidden="1"/>
    <cellStyle name="Hyperlink" xfId="6777" builtinId="8" hidden="1"/>
    <cellStyle name="Hyperlink" xfId="6733" builtinId="8" hidden="1"/>
    <cellStyle name="Hyperlink" xfId="4539" builtinId="8" hidden="1"/>
    <cellStyle name="Hyperlink" xfId="4541" builtinId="8" hidden="1"/>
    <cellStyle name="Hyperlink" xfId="4553" builtinId="8" hidden="1"/>
    <cellStyle name="Hyperlink" xfId="4555" builtinId="8" hidden="1"/>
    <cellStyle name="Hyperlink" xfId="4563" builtinId="8" hidden="1"/>
    <cellStyle name="Hyperlink" xfId="4569" builtinId="8" hidden="1"/>
    <cellStyle name="Hyperlink" xfId="4581" builtinId="8" hidden="1"/>
    <cellStyle name="Hyperlink" xfId="4589" builtinId="8" hidden="1"/>
    <cellStyle name="Hyperlink" xfId="4593" builtinId="8" hidden="1"/>
    <cellStyle name="Hyperlink" xfId="4597" builtinId="8" hidden="1"/>
    <cellStyle name="Hyperlink" xfId="4605" builtinId="8" hidden="1"/>
    <cellStyle name="Hyperlink" xfId="4613" builtinId="8" hidden="1"/>
    <cellStyle name="Hyperlink" xfId="4617" builtinId="8" hidden="1"/>
    <cellStyle name="Hyperlink" xfId="4629" builtinId="8" hidden="1"/>
    <cellStyle name="Hyperlink" xfId="4635" builtinId="8" hidden="1"/>
    <cellStyle name="Hyperlink" xfId="4649" builtinId="8" hidden="1"/>
    <cellStyle name="Hyperlink" xfId="4651" builtinId="8" hidden="1"/>
    <cellStyle name="Hyperlink" xfId="4653" builtinId="8" hidden="1"/>
    <cellStyle name="Hyperlink" xfId="4661" builtinId="8" hidden="1"/>
    <cellStyle name="Hyperlink" xfId="4667" builtinId="8" hidden="1"/>
    <cellStyle name="Hyperlink" xfId="4683" builtinId="8" hidden="1"/>
    <cellStyle name="Hyperlink" xfId="4689" builtinId="8" hidden="1"/>
    <cellStyle name="Hyperlink" xfId="4691" builtinId="8" hidden="1"/>
    <cellStyle name="Hyperlink" xfId="4699" builtinId="8" hidden="1"/>
    <cellStyle name="Hyperlink" xfId="4701" builtinId="8" hidden="1"/>
    <cellStyle name="Hyperlink" xfId="4713" builtinId="8" hidden="1"/>
    <cellStyle name="Hyperlink" xfId="4721" builtinId="8" hidden="1"/>
    <cellStyle name="Hyperlink" xfId="4725" builtinId="8" hidden="1"/>
    <cellStyle name="Hyperlink" xfId="4737" builtinId="8" hidden="1"/>
    <cellStyle name="Hyperlink" xfId="4745" builtinId="8" hidden="1"/>
    <cellStyle name="Hyperlink" xfId="4747" builtinId="8" hidden="1"/>
    <cellStyle name="Hyperlink" xfId="4763" builtinId="8" hidden="1"/>
    <cellStyle name="Hyperlink" xfId="4767" builtinId="8" hidden="1"/>
    <cellStyle name="Hyperlink" xfId="4769" builtinId="8" hidden="1"/>
    <cellStyle name="Hyperlink" xfId="4787" builtinId="8" hidden="1"/>
    <cellStyle name="Hyperlink" xfId="4791" builtinId="8" hidden="1"/>
    <cellStyle name="Hyperlink" xfId="4801" builtinId="8" hidden="1"/>
    <cellStyle name="Hyperlink" xfId="4803" builtinId="8" hidden="1"/>
    <cellStyle name="Hyperlink" xfId="4807" builtinId="8" hidden="1"/>
    <cellStyle name="Hyperlink" xfId="4817" builtinId="8" hidden="1"/>
    <cellStyle name="Hyperlink" xfId="4825" builtinId="8" hidden="1"/>
    <cellStyle name="Hyperlink" xfId="4836" builtinId="8" hidden="1"/>
    <cellStyle name="Hyperlink" xfId="4840" builtinId="8" hidden="1"/>
    <cellStyle name="Hyperlink" xfId="4850" builtinId="8" hidden="1"/>
    <cellStyle name="Hyperlink" xfId="4856" builtinId="8" hidden="1"/>
    <cellStyle name="Hyperlink" xfId="4860" builtinId="8" hidden="1"/>
    <cellStyle name="Hyperlink" xfId="4866" builtinId="8" hidden="1"/>
    <cellStyle name="Hyperlink" xfId="4874" builtinId="8" hidden="1"/>
    <cellStyle name="Hyperlink" xfId="4888" builtinId="8" hidden="1"/>
    <cellStyle name="Hyperlink" xfId="4892" builtinId="8" hidden="1"/>
    <cellStyle name="Hyperlink" xfId="4898" builtinId="8" hidden="1"/>
    <cellStyle name="Hyperlink" xfId="4900" builtinId="8" hidden="1"/>
    <cellStyle name="Hyperlink" xfId="4914" builtinId="8" hidden="1"/>
    <cellStyle name="Hyperlink" xfId="4916" builtinId="8" hidden="1"/>
    <cellStyle name="Hyperlink" xfId="4922" builtinId="8" hidden="1"/>
    <cellStyle name="Hyperlink" xfId="4936" builtinId="8" hidden="1"/>
    <cellStyle name="Hyperlink" xfId="4938" builtinId="8" hidden="1"/>
    <cellStyle name="Hyperlink" xfId="4952" builtinId="8" hidden="1"/>
    <cellStyle name="Hyperlink" xfId="4954" builtinId="8" hidden="1"/>
    <cellStyle name="Hyperlink" xfId="4960" builtinId="8" hidden="1"/>
    <cellStyle name="Hyperlink" xfId="4964" builtinId="8" hidden="1"/>
    <cellStyle name="Hyperlink" xfId="4972" builtinId="8" hidden="1"/>
    <cellStyle name="Hyperlink" xfId="4986" builtinId="8" hidden="1"/>
    <cellStyle name="Hyperlink" xfId="4988" builtinId="8" hidden="1"/>
    <cellStyle name="Hyperlink" xfId="4996" builtinId="8" hidden="1"/>
    <cellStyle name="Hyperlink" xfId="5002" builtinId="8" hidden="1"/>
    <cellStyle name="Hyperlink" xfId="5010" builtinId="8" hidden="1"/>
    <cellStyle name="Hyperlink" xfId="5016" builtinId="8" hidden="1"/>
    <cellStyle name="Hyperlink" xfId="5024" builtinId="8" hidden="1"/>
    <cellStyle name="Hyperlink" xfId="5032" builtinId="8" hidden="1"/>
    <cellStyle name="Hyperlink" xfId="5044" builtinId="8" hidden="1"/>
    <cellStyle name="Hyperlink" xfId="5048" builtinId="8" hidden="1"/>
    <cellStyle name="Hyperlink" xfId="5050" builtinId="8" hidden="1"/>
    <cellStyle name="Hyperlink" xfId="5057" builtinId="8" hidden="1"/>
    <cellStyle name="Hyperlink" xfId="5061" builtinId="8" hidden="1"/>
    <cellStyle name="Hyperlink" xfId="5065" builtinId="8" hidden="1"/>
    <cellStyle name="Hyperlink" xfId="5081" builtinId="8" hidden="1"/>
    <cellStyle name="Hyperlink" xfId="5085" builtinId="8" hidden="1"/>
    <cellStyle name="Hyperlink" xfId="5093" builtinId="8" hidden="1"/>
    <cellStyle name="Hyperlink" xfId="5097" builtinId="8" hidden="1"/>
    <cellStyle name="Hyperlink" xfId="5105" builtinId="8" hidden="1"/>
    <cellStyle name="Hyperlink" xfId="5113" builtinId="8" hidden="1"/>
    <cellStyle name="Hyperlink" xfId="5119" builtinId="8" hidden="1"/>
    <cellStyle name="Hyperlink" xfId="5129" builtinId="8" hidden="1"/>
    <cellStyle name="Hyperlink" xfId="5141" builtinId="8" hidden="1"/>
    <cellStyle name="Hyperlink" xfId="5143" builtinId="8" hidden="1"/>
    <cellStyle name="Hyperlink" xfId="5151" builtinId="8" hidden="1"/>
    <cellStyle name="Hyperlink" xfId="5153" builtinId="8" hidden="1"/>
    <cellStyle name="Hyperlink" xfId="5157" builtinId="8" hidden="1"/>
    <cellStyle name="Hyperlink" xfId="5169" builtinId="8" hidden="1"/>
    <cellStyle name="Hyperlink" xfId="5177" builtinId="8" hidden="1"/>
    <cellStyle name="Hyperlink" xfId="5189" builtinId="8" hidden="1"/>
    <cellStyle name="Hyperlink" xfId="5191" builtinId="8" hidden="1"/>
    <cellStyle name="Hyperlink" xfId="5193" builtinId="8" hidden="1"/>
    <cellStyle name="Hyperlink" xfId="5207" builtinId="8" hidden="1"/>
    <cellStyle name="Hyperlink" xfId="5213" builtinId="8" hidden="1"/>
    <cellStyle name="Hyperlink" xfId="5215" builtinId="8" hidden="1"/>
    <cellStyle name="Hyperlink" xfId="5229" builtinId="8" hidden="1"/>
    <cellStyle name="Hyperlink" xfId="5237" builtinId="8" hidden="1"/>
    <cellStyle name="Hyperlink" xfId="5241" builtinId="8" hidden="1"/>
    <cellStyle name="Hyperlink" xfId="5249" builtinId="8" hidden="1"/>
    <cellStyle name="Hyperlink" xfId="5253" builtinId="8" hidden="1"/>
    <cellStyle name="Hyperlink" xfId="5261" builtinId="8" hidden="1"/>
    <cellStyle name="Hyperlink" xfId="5269" builtinId="8" hidden="1"/>
    <cellStyle name="Hyperlink" xfId="5279" builtinId="8" hidden="1"/>
    <cellStyle name="Hyperlink" xfId="5285" builtinId="8" hidden="1"/>
    <cellStyle name="Hyperlink" xfId="5289" builtinId="8" hidden="1"/>
    <cellStyle name="Hyperlink" xfId="5301" builtinId="8" hidden="1"/>
    <cellStyle name="Hyperlink" xfId="5303" builtinId="8" hidden="1"/>
    <cellStyle name="Hyperlink" xfId="5311" builtinId="8" hidden="1"/>
    <cellStyle name="Hyperlink" xfId="5317" builtinId="8" hidden="1"/>
    <cellStyle name="Hyperlink" xfId="5325" builtinId="8" hidden="1"/>
    <cellStyle name="Hyperlink" xfId="5337" builtinId="8" hidden="1"/>
    <cellStyle name="Hyperlink" xfId="5341" builtinId="8" hidden="1"/>
    <cellStyle name="Hyperlink" xfId="5345" builtinId="8" hidden="1"/>
    <cellStyle name="Hyperlink" xfId="5355" builtinId="8" hidden="1"/>
    <cellStyle name="Hyperlink" xfId="5361" builtinId="8" hidden="1"/>
    <cellStyle name="Hyperlink" xfId="5367" builtinId="8" hidden="1"/>
    <cellStyle name="Hyperlink" xfId="5379" builtinId="8" hidden="1"/>
    <cellStyle name="Hyperlink" xfId="5385" builtinId="8" hidden="1"/>
    <cellStyle name="Hyperlink" xfId="5391" builtinId="8" hidden="1"/>
    <cellStyle name="Hyperlink" xfId="5401" builtinId="8" hidden="1"/>
    <cellStyle name="Hyperlink" xfId="5403" builtinId="8" hidden="1"/>
    <cellStyle name="Hyperlink" xfId="5411" builtinId="8" hidden="1"/>
    <cellStyle name="Hyperlink" xfId="5415" builtinId="8" hidden="1"/>
    <cellStyle name="Hyperlink" xfId="5433" builtinId="8" hidden="1"/>
    <cellStyle name="Hyperlink" xfId="5435" builtinId="8" hidden="1"/>
    <cellStyle name="Hyperlink" xfId="5441" builtinId="8" hidden="1"/>
    <cellStyle name="Hyperlink" xfId="5449" builtinId="8" hidden="1"/>
    <cellStyle name="Hyperlink" xfId="5451" builtinId="8" hidden="1"/>
    <cellStyle name="Hyperlink" xfId="5457" builtinId="8" hidden="1"/>
    <cellStyle name="Hyperlink" xfId="5471" builtinId="8" hidden="1"/>
    <cellStyle name="Hyperlink" xfId="5475" builtinId="8" hidden="1"/>
    <cellStyle name="Hyperlink" xfId="5487" builtinId="8" hidden="1"/>
    <cellStyle name="Hyperlink" xfId="5489" builtinId="8" hidden="1"/>
    <cellStyle name="Hyperlink" xfId="5497" builtinId="8" hidden="1"/>
    <cellStyle name="Hyperlink" xfId="5507" builtinId="8" hidden="1"/>
    <cellStyle name="Hyperlink" xfId="5511" builtinId="8" hidden="1"/>
    <cellStyle name="Hyperlink" xfId="5513" builtinId="8" hidden="1"/>
    <cellStyle name="Hyperlink" xfId="5531" builtinId="8" hidden="1"/>
    <cellStyle name="Hyperlink" xfId="5535" builtinId="8" hidden="1"/>
    <cellStyle name="Hyperlink" xfId="5543" builtinId="8" hidden="1"/>
    <cellStyle name="Hyperlink" xfId="5547" builtinId="8" hidden="1"/>
    <cellStyle name="Hyperlink" xfId="5551" builtinId="8" hidden="1"/>
    <cellStyle name="Hyperlink" xfId="5561" builtinId="8" hidden="1"/>
    <cellStyle name="Hyperlink" xfId="5569" builtinId="8" hidden="1"/>
    <cellStyle name="Hyperlink" xfId="5579" builtinId="8" hidden="1"/>
    <cellStyle name="Hyperlink" xfId="5583" builtinId="8" hidden="1"/>
    <cellStyle name="Hyperlink" xfId="5585" builtinId="8" hidden="1"/>
    <cellStyle name="Hyperlink" xfId="5599" builtinId="8" hidden="1"/>
    <cellStyle name="Hyperlink" xfId="5603" builtinId="8" hidden="1"/>
    <cellStyle name="Hyperlink" xfId="5607" builtinId="8" hidden="1"/>
    <cellStyle name="Hyperlink" xfId="5617" builtinId="8" hidden="1"/>
    <cellStyle name="Hyperlink" xfId="5627" builtinId="8" hidden="1"/>
    <cellStyle name="Hyperlink" xfId="5635" builtinId="8" hidden="1"/>
    <cellStyle name="Hyperlink" xfId="5641" builtinId="8" hidden="1"/>
    <cellStyle name="Hyperlink" xfId="5644" builtinId="8" hidden="1"/>
    <cellStyle name="Hyperlink" xfId="5658" builtinId="8" hidden="1"/>
    <cellStyle name="Hyperlink" xfId="5662" builtinId="8" hidden="1"/>
    <cellStyle name="Hyperlink" xfId="5668" builtinId="8" hidden="1"/>
    <cellStyle name="Hyperlink" xfId="5682" builtinId="8" hidden="1"/>
    <cellStyle name="Hyperlink" xfId="5684" builtinId="8" hidden="1"/>
    <cellStyle name="Hyperlink" xfId="5694" builtinId="8" hidden="1"/>
    <cellStyle name="Hyperlink" xfId="5700" builtinId="8" hidden="1"/>
    <cellStyle name="Hyperlink" xfId="5706" builtinId="8" hidden="1"/>
    <cellStyle name="Hyperlink" xfId="5710" builtinId="8" hidden="1"/>
    <cellStyle name="Hyperlink" xfId="5716" builtinId="8" hidden="1"/>
    <cellStyle name="Hyperlink" xfId="5733" builtinId="8" hidden="1"/>
    <cellStyle name="Hyperlink" xfId="5735" builtinId="8" hidden="1"/>
    <cellStyle name="Hyperlink" xfId="5743" builtinId="8" hidden="1"/>
    <cellStyle name="Hyperlink" xfId="5749" builtinId="8" hidden="1"/>
    <cellStyle name="Hyperlink" xfId="5755" builtinId="8" hidden="1"/>
    <cellStyle name="Hyperlink" xfId="5759" builtinId="8" hidden="1"/>
    <cellStyle name="Hyperlink" xfId="5771" builtinId="8" hidden="1"/>
    <cellStyle name="Hyperlink" xfId="5779" builtinId="8" hidden="1"/>
    <cellStyle name="Hyperlink" xfId="5787" builtinId="8" hidden="1"/>
    <cellStyle name="Hyperlink" xfId="5795" builtinId="8" hidden="1"/>
    <cellStyle name="Hyperlink" xfId="5797" builtinId="8" hidden="1"/>
    <cellStyle name="Hyperlink" xfId="5807" builtinId="8" hidden="1"/>
    <cellStyle name="Hyperlink" xfId="5811" builtinId="8" hidden="1"/>
    <cellStyle name="Hyperlink" xfId="5815" builtinId="8" hidden="1"/>
    <cellStyle name="Hyperlink" xfId="5831" builtinId="8" hidden="1"/>
    <cellStyle name="Hyperlink" xfId="5835" builtinId="8" hidden="1"/>
    <cellStyle name="Hyperlink" xfId="5843" builtinId="8" hidden="1"/>
    <cellStyle name="Hyperlink" xfId="5845" builtinId="8" hidden="1"/>
    <cellStyle name="Hyperlink" xfId="5853" builtinId="8" hidden="1"/>
    <cellStyle name="Hyperlink" xfId="5863" builtinId="8" hidden="1"/>
    <cellStyle name="Hyperlink" xfId="5867" builtinId="8" hidden="1"/>
    <cellStyle name="Hyperlink" xfId="5879" builtinId="8" hidden="1"/>
    <cellStyle name="Hyperlink" xfId="5883" builtinId="8" hidden="1"/>
    <cellStyle name="Hyperlink" xfId="5893" builtinId="8" hidden="1"/>
    <cellStyle name="Hyperlink" xfId="5901" builtinId="8" hidden="1"/>
    <cellStyle name="Hyperlink" xfId="5903" builtinId="8" hidden="1"/>
    <cellStyle name="Hyperlink" xfId="5907" builtinId="8" hidden="1"/>
    <cellStyle name="Hyperlink" xfId="5917" builtinId="8" hidden="1"/>
    <cellStyle name="Hyperlink" xfId="5927" builtinId="8" hidden="1"/>
    <cellStyle name="Hyperlink" xfId="5939" builtinId="8" hidden="1"/>
    <cellStyle name="Hyperlink" xfId="5941" builtinId="8" hidden="1"/>
    <cellStyle name="Hyperlink" xfId="5943" builtinId="8" hidden="1"/>
    <cellStyle name="Hyperlink" xfId="5954" builtinId="8" hidden="1"/>
    <cellStyle name="Hyperlink" xfId="5960" builtinId="8" hidden="1"/>
    <cellStyle name="Hyperlink" xfId="5962" builtinId="8" hidden="1"/>
    <cellStyle name="Hyperlink" xfId="5976" builtinId="8" hidden="1"/>
    <cellStyle name="Hyperlink" xfId="5978" builtinId="8" hidden="1"/>
    <cellStyle name="Hyperlink" xfId="5988" builtinId="8" hidden="1"/>
    <cellStyle name="Hyperlink" xfId="5996" builtinId="8" hidden="1"/>
    <cellStyle name="Hyperlink" xfId="6000" builtinId="8" hidden="1"/>
    <cellStyle name="Hyperlink" xfId="6008" builtinId="8" hidden="1"/>
    <cellStyle name="Hyperlink" xfId="6010" builtinId="8" hidden="1"/>
    <cellStyle name="Hyperlink" xfId="6026" builtinId="8" hidden="1"/>
    <cellStyle name="Hyperlink" xfId="6032" builtinId="8" hidden="1"/>
    <cellStyle name="Hyperlink" xfId="6034" builtinId="8" hidden="1"/>
    <cellStyle name="Hyperlink" xfId="6044" builtinId="8" hidden="1"/>
    <cellStyle name="Hyperlink" xfId="6050" builtinId="8" hidden="1"/>
    <cellStyle name="Hyperlink" xfId="6056" builtinId="8" hidden="1"/>
    <cellStyle name="Hyperlink" xfId="6064" builtinId="8" hidden="1"/>
    <cellStyle name="Hyperlink" xfId="6072" builtinId="8" hidden="1"/>
    <cellStyle name="Hyperlink" xfId="6084" builtinId="8" hidden="1"/>
    <cellStyle name="Hyperlink" xfId="6088" builtinId="8" hidden="1"/>
    <cellStyle name="Hyperlink" xfId="6092" builtinId="8" hidden="1"/>
    <cellStyle name="Hyperlink" xfId="6098" builtinId="8" hidden="1"/>
    <cellStyle name="Hyperlink" xfId="6106" builtinId="8" hidden="1"/>
    <cellStyle name="Hyperlink" xfId="6108" builtinId="8" hidden="1"/>
    <cellStyle name="Hyperlink" xfId="6124" builtinId="8" hidden="1"/>
    <cellStyle name="Hyperlink" xfId="6130" builtinId="8" hidden="1"/>
    <cellStyle name="Hyperlink" xfId="6136" builtinId="8" hidden="1"/>
    <cellStyle name="Hyperlink" xfId="6140" builtinId="8" hidden="1"/>
    <cellStyle name="Hyperlink" xfId="6148" builtinId="8" hidden="1"/>
    <cellStyle name="Hyperlink" xfId="6156" builtinId="8" hidden="1"/>
    <cellStyle name="Hyperlink" xfId="6160" builtinId="8" hidden="1"/>
    <cellStyle name="Hyperlink" xfId="6172" builtinId="8" hidden="1"/>
    <cellStyle name="Hyperlink" xfId="6180" builtinId="8" hidden="1"/>
    <cellStyle name="Hyperlink" xfId="6184" builtinId="8" hidden="1"/>
    <cellStyle name="Hyperlink" xfId="6194" builtinId="8" hidden="1"/>
    <cellStyle name="Hyperlink" xfId="6196" builtinId="8" hidden="1"/>
    <cellStyle name="Hyperlink" xfId="6202" builtinId="8" hidden="1"/>
    <cellStyle name="Hyperlink" xfId="6216" builtinId="8" hidden="1"/>
    <cellStyle name="Hyperlink" xfId="6220" builtinId="8" hidden="1"/>
    <cellStyle name="Hyperlink" xfId="6232" builtinId="8" hidden="1"/>
    <cellStyle name="Hyperlink" xfId="6234" builtinId="8" hidden="1"/>
    <cellStyle name="Hyperlink" xfId="4749" builtinId="8" hidden="1"/>
    <cellStyle name="Hyperlink" xfId="6242" builtinId="8" hidden="1"/>
    <cellStyle name="Hyperlink" xfId="6246" builtinId="8" hidden="1"/>
    <cellStyle name="Hyperlink" xfId="6248" builtinId="8" hidden="1"/>
    <cellStyle name="Hyperlink" xfId="6258" builtinId="8" hidden="1"/>
    <cellStyle name="Hyperlink" xfId="6270" builtinId="8" hidden="1"/>
    <cellStyle name="Hyperlink" xfId="6278" builtinId="8" hidden="1"/>
    <cellStyle name="Hyperlink" xfId="6280" builtinId="8" hidden="1"/>
    <cellStyle name="Hyperlink" xfId="6286" builtinId="8" hidden="1"/>
    <cellStyle name="Hyperlink" xfId="6294" builtinId="8" hidden="1"/>
    <cellStyle name="Hyperlink" xfId="6302" builtinId="8" hidden="1"/>
    <cellStyle name="Hyperlink" xfId="6314" builtinId="8" hidden="1"/>
    <cellStyle name="Hyperlink" xfId="6318" builtinId="8" hidden="1"/>
    <cellStyle name="Hyperlink" xfId="6320" builtinId="8" hidden="1"/>
    <cellStyle name="Hyperlink" xfId="6334" builtinId="8" hidden="1"/>
    <cellStyle name="Hyperlink" xfId="6338" builtinId="8" hidden="1"/>
    <cellStyle name="Hyperlink" xfId="6342" builtinId="8" hidden="1"/>
    <cellStyle name="Hyperlink" xfId="6352" builtinId="8" hidden="1"/>
    <cellStyle name="Hyperlink" xfId="6358" builtinId="8" hidden="1"/>
    <cellStyle name="Hyperlink" xfId="6370" builtinId="8" hidden="1"/>
    <cellStyle name="Hyperlink" xfId="6376" builtinId="8" hidden="1"/>
    <cellStyle name="Hyperlink" xfId="6378" builtinId="8" hidden="1"/>
    <cellStyle name="Hyperlink" xfId="6386" builtinId="8" hidden="1"/>
    <cellStyle name="Hyperlink" xfId="6392" builtinId="8" hidden="1"/>
    <cellStyle name="Hyperlink" xfId="6400" builtinId="8" hidden="1"/>
    <cellStyle name="Hyperlink" xfId="6414" builtinId="8" hidden="1"/>
    <cellStyle name="Hyperlink" xfId="6416" builtinId="8" hidden="1"/>
    <cellStyle name="Hyperlink" xfId="6424" builtinId="8" hidden="1"/>
    <cellStyle name="Hyperlink" xfId="6430" builtinId="8" hidden="1"/>
    <cellStyle name="Hyperlink" xfId="6438" builtinId="8" hidden="1"/>
    <cellStyle name="Hyperlink" xfId="6442" builtinId="8" hidden="1"/>
    <cellStyle name="Hyperlink" xfId="6448" builtinId="8" hidden="1"/>
    <cellStyle name="Hyperlink" xfId="6464" builtinId="8" hidden="1"/>
    <cellStyle name="Hyperlink" xfId="6466" builtinId="8" hidden="1"/>
    <cellStyle name="Hyperlink" xfId="6472" builtinId="8" hidden="1"/>
    <cellStyle name="Hyperlink" xfId="6480" builtinId="8" hidden="1"/>
    <cellStyle name="Hyperlink" xfId="6486" builtinId="8" hidden="1"/>
    <cellStyle name="Hyperlink" xfId="6488" builtinId="8" hidden="1"/>
    <cellStyle name="Hyperlink" xfId="6502" builtinId="8" hidden="1"/>
    <cellStyle name="Hyperlink" xfId="6510" builtinId="8" hidden="1"/>
    <cellStyle name="Hyperlink" xfId="6514" builtinId="8" hidden="1"/>
    <cellStyle name="Hyperlink" xfId="6522" builtinId="8" hidden="1"/>
    <cellStyle name="Hyperlink" xfId="6530" builtinId="8" hidden="1"/>
    <cellStyle name="Hyperlink" xfId="6538" builtinId="8" hidden="1"/>
    <cellStyle name="Hyperlink" xfId="6544" builtinId="8" hidden="1"/>
    <cellStyle name="Hyperlink" xfId="6548" builtinId="8" hidden="1"/>
    <cellStyle name="Hyperlink" xfId="6564" builtinId="8" hidden="1"/>
    <cellStyle name="Hyperlink" xfId="6568" builtinId="8" hidden="1"/>
    <cellStyle name="Hyperlink" xfId="6576" builtinId="8" hidden="1"/>
    <cellStyle name="Hyperlink" xfId="6578" builtinId="8" hidden="1"/>
    <cellStyle name="Hyperlink" xfId="6586" builtinId="8" hidden="1"/>
    <cellStyle name="Hyperlink" xfId="6596" builtinId="8" hidden="1"/>
    <cellStyle name="Hyperlink" xfId="6601" builtinId="8" hidden="1"/>
    <cellStyle name="Hyperlink" xfId="6613" builtinId="8" hidden="1"/>
    <cellStyle name="Hyperlink" xfId="6617" builtinId="8" hidden="1"/>
    <cellStyle name="Hyperlink" xfId="6621" builtinId="8" hidden="1"/>
    <cellStyle name="Hyperlink" xfId="6635" builtinId="8" hidden="1"/>
    <cellStyle name="Hyperlink" xfId="6637" builtinId="8" hidden="1"/>
    <cellStyle name="Hyperlink" xfId="6641" builtinId="8" hidden="1"/>
    <cellStyle name="Hyperlink" xfId="6651" builtinId="8" hidden="1"/>
    <cellStyle name="Hyperlink" xfId="6661" builtinId="8" hidden="1"/>
    <cellStyle name="Hyperlink" xfId="6673" builtinId="8" hidden="1"/>
    <cellStyle name="Hyperlink" xfId="6675" builtinId="8" hidden="1"/>
    <cellStyle name="Hyperlink" xfId="6677" builtinId="8" hidden="1"/>
    <cellStyle name="Hyperlink" xfId="6685" builtinId="8" hidden="1"/>
    <cellStyle name="Hyperlink" xfId="6697" builtinId="8" hidden="1"/>
    <cellStyle name="Hyperlink" xfId="6699" builtinId="8" hidden="1"/>
    <cellStyle name="Hyperlink" xfId="6709" builtinId="8" hidden="1"/>
    <cellStyle name="Hyperlink" xfId="6715" builtinId="8" hidden="1"/>
    <cellStyle name="Hyperlink" xfId="6725" builtinId="8" hidden="1"/>
    <cellStyle name="Hyperlink" xfId="6691" builtinId="8" hidden="1"/>
    <cellStyle name="Hyperlink" xfId="6669" builtinId="8" hidden="1"/>
    <cellStyle name="Hyperlink" xfId="6605" builtinId="8" hidden="1"/>
    <cellStyle name="Hyperlink" xfId="6584" builtinId="8" hidden="1"/>
    <cellStyle name="Hyperlink" xfId="6474" builtinId="8" hidden="1"/>
    <cellStyle name="Hyperlink" xfId="6432" builtinId="8" hidden="1"/>
    <cellStyle name="Hyperlink" xfId="6410" builtinId="8" hidden="1"/>
    <cellStyle name="Hyperlink" xfId="6346" builtinId="8" hidden="1"/>
    <cellStyle name="Hyperlink" xfId="6326" builtinId="8" hidden="1"/>
    <cellStyle name="Hyperlink" xfId="6262" builtinId="8" hidden="1"/>
    <cellStyle name="Hyperlink" xfId="6228" builtinId="8" hidden="1"/>
    <cellStyle name="Hyperlink" xfId="6164" builtinId="8" hidden="1"/>
    <cellStyle name="Hyperlink" xfId="6100" builtinId="8" hidden="1"/>
    <cellStyle name="Hyperlink" xfId="6058" builtinId="8" hidden="1"/>
    <cellStyle name="Hyperlink" xfId="6016" builtinId="8" hidden="1"/>
    <cellStyle name="Hyperlink" xfId="5972" builtinId="8" hidden="1"/>
    <cellStyle name="Hyperlink" xfId="5933" builtinId="8" hidden="1"/>
    <cellStyle name="Hyperlink" xfId="5911" builtinId="8" hidden="1"/>
    <cellStyle name="Hyperlink" xfId="5805" builtinId="8" hidden="1"/>
    <cellStyle name="Hyperlink" xfId="5763" builtinId="8" hidden="1"/>
    <cellStyle name="Hyperlink" xfId="5718" builtinId="8" hidden="1"/>
    <cellStyle name="Hyperlink" xfId="5676" builtinId="8" hidden="1"/>
    <cellStyle name="Hyperlink" xfId="5654" builtinId="8" hidden="1"/>
    <cellStyle name="Hyperlink" xfId="5567" builtinId="8" hidden="1"/>
    <cellStyle name="Hyperlink" xfId="5545" builtinId="8" hidden="1"/>
    <cellStyle name="Hyperlink" xfId="5459" builtinId="8" hidden="1"/>
    <cellStyle name="Hyperlink" xfId="5417" builtinId="8" hidden="1"/>
    <cellStyle name="Hyperlink" xfId="5375" builtinId="8" hidden="1"/>
    <cellStyle name="Hyperlink" xfId="5309" builtinId="8" hidden="1"/>
    <cellStyle name="Hyperlink" xfId="5287" builtinId="8" hidden="1"/>
    <cellStyle name="Hyperlink" xfId="5245" builtinId="8" hidden="1"/>
    <cellStyle name="Hyperlink" xfId="5201" builtinId="8" hidden="1"/>
    <cellStyle name="Hyperlink" xfId="5117" builtinId="8" hidden="1"/>
    <cellStyle name="Hyperlink" xfId="5053" builtinId="8" hidden="1"/>
    <cellStyle name="Hyperlink" xfId="5034" builtinId="8" hidden="1"/>
    <cellStyle name="Hyperlink" xfId="5159" builtinId="8" hidden="1"/>
    <cellStyle name="Hyperlink" xfId="5631" builtinId="8" hidden="1"/>
    <cellStyle name="Hyperlink" xfId="5847" builtinId="8" hidden="1"/>
    <cellStyle name="Hyperlink" xfId="6080" builtinId="8" hidden="1"/>
    <cellStyle name="Hyperlink" xfId="6723" builtinId="8" hidden="1"/>
    <cellStyle name="Hyperlink" xfId="6689" builtinId="8" hidden="1"/>
    <cellStyle name="Hyperlink" xfId="6625" builtinId="8" hidden="1"/>
    <cellStyle name="Hyperlink" xfId="6592" builtinId="8" hidden="1"/>
    <cellStyle name="Hyperlink" xfId="6560" builtinId="8" hidden="1"/>
    <cellStyle name="Hyperlink" xfId="6490" builtinId="8" hidden="1"/>
    <cellStyle name="Hyperlink" xfId="6462" builtinId="8" hidden="1"/>
    <cellStyle name="Hyperlink" xfId="6362" builtinId="8" hidden="1"/>
    <cellStyle name="Hyperlink" xfId="6330" builtinId="8" hidden="1"/>
    <cellStyle name="Hyperlink" xfId="6296" builtinId="8" hidden="1"/>
    <cellStyle name="Hyperlink" xfId="3867" builtinId="8" hidden="1"/>
    <cellStyle name="Hyperlink" xfId="6210" builtinId="8" hidden="1"/>
    <cellStyle name="Hyperlink" xfId="6178" builtinId="8" hidden="1"/>
    <cellStyle name="Hyperlink" xfId="6112" builtinId="8" hidden="1"/>
    <cellStyle name="Hyperlink" xfId="6048" builtinId="8" hidden="1"/>
    <cellStyle name="Hyperlink" xfId="5984" builtinId="8" hidden="1"/>
    <cellStyle name="Hyperlink" xfId="5948" builtinId="8" hidden="1"/>
    <cellStyle name="Hyperlink" xfId="5919" builtinId="8" hidden="1"/>
    <cellStyle name="Hyperlink" xfId="5855" builtinId="8" hidden="1"/>
    <cellStyle name="Hyperlink" xfId="5821" builtinId="8" hidden="1"/>
    <cellStyle name="Hyperlink" xfId="5791" builtinId="8" hidden="1"/>
    <cellStyle name="Hyperlink" xfId="5692" builtinId="8" hidden="1"/>
    <cellStyle name="Hyperlink" xfId="5660" builtinId="8" hidden="1"/>
    <cellStyle name="Hyperlink" xfId="5593" builtinId="8" hidden="1"/>
    <cellStyle name="Hyperlink" xfId="5559" builtinId="8" hidden="1"/>
    <cellStyle name="Hyperlink" xfId="5527" builtinId="8" hidden="1"/>
    <cellStyle name="Hyperlink" xfId="5463" builtinId="8" hidden="1"/>
    <cellStyle name="Hyperlink" xfId="5427" builtinId="8" hidden="1"/>
    <cellStyle name="Hyperlink" xfId="5327" builtinId="8" hidden="1"/>
    <cellStyle name="Hyperlink" xfId="5297" builtinId="8" hidden="1"/>
    <cellStyle name="Hyperlink" xfId="5263" builtinId="8" hidden="1"/>
    <cellStyle name="Hyperlink" xfId="5199" builtinId="8" hidden="1"/>
    <cellStyle name="Hyperlink" xfId="5167" builtinId="8" hidden="1"/>
    <cellStyle name="Hyperlink" xfId="5133" builtinId="8" hidden="1"/>
    <cellStyle name="Hyperlink" xfId="5069" builtinId="8" hidden="1"/>
    <cellStyle name="Hyperlink" xfId="5008" builtinId="8" hidden="1"/>
    <cellStyle name="Hyperlink" xfId="4940" builtinId="8" hidden="1"/>
    <cellStyle name="Hyperlink" xfId="4912" builtinId="8" hidden="1"/>
    <cellStyle name="Hyperlink" xfId="4876" builtinId="8" hidden="1"/>
    <cellStyle name="Hyperlink" xfId="4811" builtinId="8" hidden="1"/>
    <cellStyle name="Hyperlink" xfId="4779" builtinId="8" hidden="1"/>
    <cellStyle name="Hyperlink" xfId="4739" builtinId="8" hidden="1"/>
    <cellStyle name="Hyperlink" xfId="4641" builtinId="8" hidden="1"/>
    <cellStyle name="Hyperlink" xfId="4611" builtinId="8" hidden="1"/>
    <cellStyle name="Hyperlink" xfId="4545" builtinId="8" hidden="1"/>
    <cellStyle name="Hyperlink" xfId="6797" builtinId="8" hidden="1"/>
    <cellStyle name="Hyperlink" xfId="6912" builtinId="8" hidden="1"/>
    <cellStyle name="Hyperlink" xfId="7136" builtinId="8" hidden="1"/>
    <cellStyle name="Hyperlink" xfId="7254" builtinId="8" hidden="1"/>
    <cellStyle name="Hyperlink" xfId="7597" builtinId="8" hidden="1"/>
    <cellStyle name="Hyperlink" xfId="7370" builtinId="8" hidden="1"/>
    <cellStyle name="Hyperlink" xfId="4675" builtinId="8" hidden="1"/>
    <cellStyle name="Hyperlink" xfId="5040" builtinId="8" hidden="1"/>
    <cellStyle name="Hyperlink" xfId="5399" builtinId="8" hidden="1"/>
    <cellStyle name="Hyperlink" xfId="5725" builtinId="8" hidden="1"/>
    <cellStyle name="Hyperlink" xfId="6082" builtinId="8" hidden="1"/>
    <cellStyle name="Hyperlink" xfId="6426" builtinId="8" hidden="1"/>
    <cellStyle name="Hyperlink" xfId="6518" builtinId="8" hidden="1"/>
    <cellStyle name="Hyperlink" xfId="5137" builtinId="8" hidden="1"/>
    <cellStyle name="Hyperlink" xfId="5503" builtinId="8" hidden="1"/>
    <cellStyle name="Hyperlink" xfId="5827" builtinId="8" hidden="1"/>
    <cellStyle name="Hyperlink" xfId="6186" builtinId="8" hidden="1"/>
    <cellStyle name="Hyperlink" xfId="6562" builtinId="8" hidden="1"/>
    <cellStyle name="Hyperlink" xfId="6707" builtinId="8" hidden="1"/>
    <cellStyle name="Hyperlink" xfId="6653" builtinId="8" hidden="1"/>
    <cellStyle name="Hyperlink" xfId="6603" builtinId="8" hidden="1"/>
    <cellStyle name="Hyperlink" xfId="6554" builtinId="8" hidden="1"/>
    <cellStyle name="Hyperlink" xfId="6504" builtinId="8" hidden="1"/>
    <cellStyle name="Hyperlink" xfId="6450" builtinId="8" hidden="1"/>
    <cellStyle name="Hyperlink" xfId="6406" builtinId="8" hidden="1"/>
    <cellStyle name="Hyperlink" xfId="6354" builtinId="8" hidden="1"/>
    <cellStyle name="Hyperlink" xfId="6306" builtinId="8" hidden="1"/>
    <cellStyle name="Hyperlink" xfId="6256" builtinId="8" hidden="1"/>
    <cellStyle name="Hyperlink" xfId="6218" builtinId="8" hidden="1"/>
    <cellStyle name="Hyperlink" xfId="6168" builtinId="8" hidden="1"/>
    <cellStyle name="Hyperlink" xfId="6120" builtinId="8" hidden="1"/>
    <cellStyle name="Hyperlink" xfId="6068" builtinId="8" hidden="1"/>
    <cellStyle name="Hyperlink" xfId="6020" builtinId="8" hidden="1"/>
    <cellStyle name="Hyperlink" xfId="5970" builtinId="8" hidden="1"/>
    <cellStyle name="Hyperlink" xfId="5925" builtinId="8" hidden="1"/>
    <cellStyle name="Hyperlink" xfId="5871" builtinId="8" hidden="1"/>
    <cellStyle name="Hyperlink" xfId="5829" builtinId="8" hidden="1"/>
    <cellStyle name="Hyperlink" xfId="5773" builtinId="8" hidden="1"/>
    <cellStyle name="Hyperlink" xfId="5723" builtinId="8" hidden="1"/>
    <cellStyle name="Hyperlink" xfId="5674" builtinId="8" hidden="1"/>
    <cellStyle name="Hyperlink" xfId="5619" builtinId="8" hidden="1"/>
    <cellStyle name="Hyperlink" xfId="5571" builtinId="8" hidden="1"/>
    <cellStyle name="Hyperlink" xfId="5521" builtinId="8" hidden="1"/>
    <cellStyle name="Hyperlink" xfId="5473" builtinId="8" hidden="1"/>
    <cellStyle name="Hyperlink" xfId="5423" builtinId="8" hidden="1"/>
    <cellStyle name="Hyperlink" xfId="5377" builtinId="8" hidden="1"/>
    <cellStyle name="Hyperlink" xfId="5321" builtinId="8" hidden="1"/>
    <cellStyle name="Hyperlink" xfId="5273" builtinId="8" hidden="1"/>
    <cellStyle name="Hyperlink" xfId="5225" builtinId="8" hidden="1"/>
    <cellStyle name="Hyperlink" xfId="5175" builtinId="8" hidden="1"/>
    <cellStyle name="Hyperlink" xfId="5121" builtinId="8" hidden="1"/>
    <cellStyle name="Hyperlink" xfId="5079" builtinId="8" hidden="1"/>
    <cellStyle name="Hyperlink" xfId="5026" builtinId="8" hidden="1"/>
    <cellStyle name="Hyperlink" xfId="4978" builtinId="8" hidden="1"/>
    <cellStyle name="Hyperlink" xfId="4930" builtinId="8" hidden="1"/>
    <cellStyle name="Hyperlink" xfId="4880" builtinId="8" hidden="1"/>
    <cellStyle name="Hyperlink" xfId="4827" builtinId="8" hidden="1"/>
    <cellStyle name="Hyperlink" xfId="4783" builtinId="8" hidden="1"/>
    <cellStyle name="Hyperlink" xfId="4723" builtinId="8" hidden="1"/>
    <cellStyle name="Hyperlink" xfId="4673" builtinId="8" hidden="1"/>
    <cellStyle name="Hyperlink" xfId="4627" builtinId="8" hidden="1"/>
    <cellStyle name="Hyperlink" xfId="4573" builtinId="8" hidden="1"/>
    <cellStyle name="Hyperlink" xfId="6755" builtinId="8" hidden="1"/>
    <cellStyle name="Hyperlink" xfId="6922" builtinId="8" hidden="1"/>
    <cellStyle name="Hyperlink" xfId="7094" builtinId="8" hidden="1"/>
    <cellStyle name="Hyperlink" xfId="7286" builtinId="8" hidden="1"/>
    <cellStyle name="Hyperlink" xfId="7436" builtinId="8" hidden="1"/>
    <cellStyle name="Hyperlink" xfId="7629" builtinId="8" hidden="1"/>
    <cellStyle name="Hyperlink" xfId="7798" builtinId="8" hidden="1"/>
    <cellStyle name="Hyperlink" xfId="7968" builtinId="8" hidden="1"/>
    <cellStyle name="Hyperlink" xfId="7591" builtinId="8" hidden="1"/>
    <cellStyle name="Hyperlink" xfId="7044" builtinId="8" hidden="1"/>
    <cellStyle name="Hyperlink" xfId="6566" builtinId="8" hidden="1"/>
    <cellStyle name="Hyperlink" xfId="6030" builtinId="8" hidden="1"/>
    <cellStyle name="Hyperlink" xfId="5517" builtinId="8" hidden="1"/>
    <cellStyle name="Hyperlink" xfId="5006" builtinId="8" hidden="1"/>
    <cellStyle name="Hyperlink" xfId="4485" builtinId="8" hidden="1"/>
    <cellStyle name="Hyperlink" xfId="3953" builtinId="8" hidden="1"/>
    <cellStyle name="Hyperlink" xfId="3467" builtinId="8" hidden="1"/>
    <cellStyle name="Hyperlink" xfId="2919" builtinId="8" hidden="1"/>
    <cellStyle name="Hyperlink" xfId="1403" builtinId="8" hidden="1"/>
    <cellStyle name="Hyperlink" xfId="3742" builtinId="8" hidden="1"/>
    <cellStyle name="Hyperlink" xfId="3914" builtinId="8" hidden="1"/>
    <cellStyle name="Hyperlink" xfId="4083" builtinId="8" hidden="1"/>
    <cellStyle name="Hyperlink" xfId="4232" builtinId="8" hidden="1"/>
    <cellStyle name="Hyperlink" xfId="4400" builtinId="8" hidden="1"/>
    <cellStyle name="Hyperlink" xfId="4180" builtinId="8" hidden="1"/>
    <cellStyle name="Hyperlink" xfId="3377" builtinId="8" hidden="1"/>
    <cellStyle name="Hyperlink" xfId="3537" builtinId="8" hidden="1"/>
    <cellStyle name="Hyperlink" xfId="3106" builtinId="8" hidden="1"/>
    <cellStyle name="Hyperlink" xfId="3250" builtinId="8" hidden="1"/>
    <cellStyle name="Hyperlink" xfId="2983" builtinId="8" hidden="1"/>
    <cellStyle name="Hyperlink" xfId="3112" builtinId="8" hidden="1"/>
    <cellStyle name="Hyperlink" xfId="3268" builtinId="8" hidden="1"/>
    <cellStyle name="Hyperlink" xfId="4103" builtinId="8" hidden="1"/>
    <cellStyle name="Hyperlink" xfId="5012" builtinId="8" hidden="1"/>
    <cellStyle name="Hyperlink" xfId="6482" builtinId="8" hidden="1"/>
    <cellStyle name="Hyperlink" xfId="5956" builtinId="8" hidden="1"/>
    <cellStyle name="Hyperlink" xfId="5419" builtinId="8" hidden="1"/>
    <cellStyle name="Hyperlink" xfId="4932" builtinId="8" hidden="1"/>
    <cellStyle name="Hyperlink" xfId="7232" builtinId="8" hidden="1"/>
    <cellStyle name="Hyperlink" xfId="4679" builtinId="8" hidden="1"/>
    <cellStyle name="Hyperlink" xfId="2198" builtinId="8" hidden="1"/>
    <cellStyle name="Hyperlink" xfId="1222" builtinId="8" hidden="1"/>
    <cellStyle name="Hyperlink" xfId="159" builtinId="8" hidden="1"/>
    <cellStyle name="Hyperlink" xfId="1170" builtinId="8" hidden="1"/>
    <cellStyle name="Hyperlink" xfId="664" builtinId="8" hidden="1"/>
    <cellStyle name="Hyperlink" xfId="4870" builtinId="8" hidden="1"/>
    <cellStyle name="Hyperlink" xfId="7016" builtinId="8" hidden="1"/>
    <cellStyle name="Hyperlink" xfId="7022" builtinId="8" hidden="1"/>
    <cellStyle name="Hyperlink" xfId="7032" builtinId="8" hidden="1"/>
    <cellStyle name="Hyperlink" xfId="7034" builtinId="8" hidden="1"/>
    <cellStyle name="Hyperlink" xfId="7042" builtinId="8" hidden="1"/>
    <cellStyle name="Hyperlink" xfId="7048" builtinId="8" hidden="1"/>
    <cellStyle name="Hyperlink" xfId="7056" builtinId="8" hidden="1"/>
    <cellStyle name="Hyperlink" xfId="7058" builtinId="8" hidden="1"/>
    <cellStyle name="Hyperlink" xfId="7074" builtinId="8" hidden="1"/>
    <cellStyle name="Hyperlink" xfId="7078" builtinId="8" hidden="1"/>
    <cellStyle name="Hyperlink" xfId="7080" builtinId="8" hidden="1"/>
    <cellStyle name="Hyperlink" xfId="7090" builtinId="8" hidden="1"/>
    <cellStyle name="Hyperlink" xfId="7096" builtinId="8" hidden="1"/>
    <cellStyle name="Hyperlink" xfId="7102" builtinId="8" hidden="1"/>
    <cellStyle name="Hyperlink" xfId="7118" builtinId="8" hidden="1"/>
    <cellStyle name="Hyperlink" xfId="7120" builtinId="8" hidden="1"/>
    <cellStyle name="Hyperlink" xfId="7130" builtinId="8" hidden="1"/>
    <cellStyle name="Hyperlink" xfId="7134" builtinId="8" hidden="1"/>
    <cellStyle name="Hyperlink" xfId="7138" builtinId="8" hidden="1"/>
    <cellStyle name="Hyperlink" xfId="7150" builtinId="8" hidden="1"/>
    <cellStyle name="Hyperlink" xfId="7152" builtinId="8" hidden="1"/>
    <cellStyle name="Hyperlink" xfId="7160" builtinId="8" hidden="1"/>
    <cellStyle name="Hyperlink" xfId="7166" builtinId="8" hidden="1"/>
    <cellStyle name="Hyperlink" xfId="7174" builtinId="8" hidden="1"/>
    <cellStyle name="Hyperlink" xfId="7176" builtinId="8" hidden="1"/>
    <cellStyle name="Hyperlink" xfId="7186" builtinId="8" hidden="1"/>
    <cellStyle name="Hyperlink" xfId="7192" builtinId="8" hidden="1"/>
    <cellStyle name="Hyperlink" xfId="7194" builtinId="8" hidden="1"/>
    <cellStyle name="Hyperlink" xfId="7206" builtinId="8" hidden="1"/>
    <cellStyle name="Hyperlink" xfId="7216" builtinId="8" hidden="1"/>
    <cellStyle name="Hyperlink" xfId="6846" builtinId="8" hidden="1"/>
    <cellStyle name="Hyperlink" xfId="6854" builtinId="8" hidden="1"/>
    <cellStyle name="Hyperlink" xfId="6856" builtinId="8" hidden="1"/>
    <cellStyle name="Hyperlink" xfId="6866" builtinId="8" hidden="1"/>
    <cellStyle name="Hyperlink" xfId="6872" builtinId="8" hidden="1"/>
    <cellStyle name="Hyperlink" xfId="6874" builtinId="8" hidden="1"/>
    <cellStyle name="Hyperlink" xfId="6886" builtinId="8" hidden="1"/>
    <cellStyle name="Hyperlink" xfId="6888" builtinId="8" hidden="1"/>
    <cellStyle name="Hyperlink" xfId="6896" builtinId="8" hidden="1"/>
    <cellStyle name="Hyperlink" xfId="6904" builtinId="8" hidden="1"/>
    <cellStyle name="Hyperlink" xfId="6910" builtinId="8" hidden="1"/>
    <cellStyle name="Hyperlink" xfId="6914" builtinId="8" hidden="1"/>
    <cellStyle name="Hyperlink" xfId="6926" builtinId="8" hidden="1"/>
    <cellStyle name="Hyperlink" xfId="6928" builtinId="8" hidden="1"/>
    <cellStyle name="Hyperlink" xfId="6942" builtinId="8" hidden="1"/>
    <cellStyle name="Hyperlink" xfId="6946" builtinId="8" hidden="1"/>
    <cellStyle name="Hyperlink" xfId="6952" builtinId="8" hidden="1"/>
    <cellStyle name="Hyperlink" xfId="6960" builtinId="8" hidden="1"/>
    <cellStyle name="Hyperlink" xfId="6842" builtinId="8" hidden="1"/>
    <cellStyle name="Hyperlink" xfId="6785" builtinId="8" hidden="1"/>
    <cellStyle name="Hyperlink" xfId="6795" builtinId="8" hidden="1"/>
    <cellStyle name="Hyperlink" xfId="6801" builtinId="8" hidden="1"/>
    <cellStyle name="Hyperlink" xfId="6803" builtinId="8" hidden="1"/>
    <cellStyle name="Hyperlink" xfId="6813" builtinId="8" hidden="1"/>
    <cellStyle name="Hyperlink" xfId="6817" builtinId="8" hidden="1"/>
    <cellStyle name="Hyperlink" xfId="6822" builtinId="8" hidden="1"/>
    <cellStyle name="Hyperlink" xfId="6830" builtinId="8" hidden="1"/>
    <cellStyle name="Hyperlink" xfId="6834" builtinId="8" hidden="1"/>
    <cellStyle name="Hyperlink" xfId="6840" builtinId="8" hidden="1"/>
    <cellStyle name="Hyperlink" xfId="6769" builtinId="8" hidden="1"/>
    <cellStyle name="Hyperlink" xfId="6771" builtinId="8" hidden="1"/>
    <cellStyle name="Hyperlink" xfId="6781" builtinId="8" hidden="1"/>
    <cellStyle name="Hyperlink" xfId="6741" builtinId="8" hidden="1"/>
    <cellStyle name="Hyperlink" xfId="6749" builtinId="8" hidden="1"/>
    <cellStyle name="Hyperlink" xfId="6737" builtinId="8" hidden="1"/>
    <cellStyle name="Hyperlink" xfId="6731" builtinId="8" hidden="1"/>
    <cellStyle name="Hyperlink" xfId="6729" builtinId="8" hidden="1"/>
    <cellStyle name="Hyperlink" xfId="6747" builtinId="8" hidden="1"/>
    <cellStyle name="Hyperlink" xfId="6773" builtinId="8" hidden="1"/>
    <cellStyle name="Hyperlink" xfId="6761" builtinId="8" hidden="1"/>
    <cellStyle name="Hyperlink" xfId="6821" builtinId="8" hidden="1"/>
    <cellStyle name="Hyperlink" xfId="6805" builtinId="8" hidden="1"/>
    <cellStyle name="Hyperlink" xfId="6793" builtinId="8" hidden="1"/>
    <cellStyle name="Hyperlink" xfId="6950" builtinId="8" hidden="1"/>
    <cellStyle name="Hyperlink" xfId="6920" builtinId="8" hidden="1"/>
    <cellStyle name="Hyperlink" xfId="6894" builtinId="8" hidden="1"/>
    <cellStyle name="Hyperlink" xfId="6878" builtinId="8" hidden="1"/>
    <cellStyle name="Hyperlink" xfId="6864" builtinId="8" hidden="1"/>
    <cellStyle name="Hyperlink" xfId="7214" builtinId="8" hidden="1"/>
    <cellStyle name="Hyperlink" xfId="7198" builtinId="8" hidden="1"/>
    <cellStyle name="Hyperlink" xfId="7184" builtinId="8" hidden="1"/>
    <cellStyle name="Hyperlink" xfId="7154" builtinId="8" hidden="1"/>
    <cellStyle name="Hyperlink" xfId="7142" builtinId="8" hidden="1"/>
    <cellStyle name="Hyperlink" xfId="7128" builtinId="8" hidden="1"/>
    <cellStyle name="Hyperlink" xfId="7098" builtinId="8" hidden="1"/>
    <cellStyle name="Hyperlink" xfId="7086" builtinId="8" hidden="1"/>
    <cellStyle name="Hyperlink" xfId="7066" builtinId="8" hidden="1"/>
    <cellStyle name="Hyperlink" xfId="7038" builtinId="8" hidden="1"/>
    <cellStyle name="Hyperlink" xfId="7024" builtinId="8" hidden="1"/>
    <cellStyle name="Hyperlink" xfId="6982" builtinId="8" hidden="1"/>
    <cellStyle name="Hyperlink" xfId="6968" builtinId="8" hidden="1"/>
    <cellStyle name="Hyperlink" xfId="7643" builtinId="8" hidden="1"/>
    <cellStyle name="Hyperlink" xfId="7718" builtinId="8" hidden="1"/>
    <cellStyle name="Hyperlink" xfId="7707" builtinId="8" hidden="1"/>
    <cellStyle name="Hyperlink" xfId="7691" builtinId="8" hidden="1"/>
    <cellStyle name="Hyperlink" xfId="7665" builtinId="8" hidden="1"/>
    <cellStyle name="Hyperlink" xfId="7649" builtinId="8" hidden="1"/>
    <cellStyle name="Hyperlink" xfId="7633" builtinId="8" hidden="1"/>
    <cellStyle name="Hyperlink" xfId="7603" builtinId="8" hidden="1"/>
    <cellStyle name="Hyperlink" xfId="7589" builtinId="8" hidden="1"/>
    <cellStyle name="Hyperlink" xfId="7573" builtinId="8" hidden="1"/>
    <cellStyle name="Hyperlink" xfId="7547" builtinId="8" hidden="1"/>
    <cellStyle name="Hyperlink" xfId="7531" builtinId="8" hidden="1"/>
    <cellStyle name="Hyperlink" xfId="7515" builtinId="8" hidden="1"/>
    <cellStyle name="Hyperlink" xfId="7472" builtinId="8" hidden="1"/>
    <cellStyle name="Hyperlink" xfId="7456" builtinId="8" hidden="1"/>
    <cellStyle name="Hyperlink" xfId="7428" builtinId="8" hidden="1"/>
    <cellStyle name="Hyperlink" xfId="7408" builtinId="8" hidden="1"/>
    <cellStyle name="Hyperlink" xfId="7394" builtinId="8" hidden="1"/>
    <cellStyle name="Hyperlink" xfId="7366" builtinId="8" hidden="1"/>
    <cellStyle name="Hyperlink" xfId="7352" builtinId="8" hidden="1"/>
    <cellStyle name="Hyperlink" xfId="7336" builtinId="8" hidden="1"/>
    <cellStyle name="Hyperlink" xfId="7310" builtinId="8" hidden="1"/>
    <cellStyle name="Hyperlink" xfId="7290" builtinId="8" hidden="1"/>
    <cellStyle name="Hyperlink" xfId="7278" builtinId="8" hidden="1"/>
    <cellStyle name="Hyperlink" xfId="7248" builtinId="8" hidden="1"/>
    <cellStyle name="Hyperlink" xfId="7234" builtinId="8" hidden="1"/>
    <cellStyle name="Hyperlink" xfId="7218" builtinId="8" hidden="1"/>
    <cellStyle name="Hyperlink" xfId="7551" builtinId="8" hidden="1"/>
    <cellStyle name="Hyperlink" xfId="6198" builtinId="8" hidden="1"/>
    <cellStyle name="Hyperlink" xfId="5299" builtinId="8" hidden="1"/>
    <cellStyle name="Hyperlink" xfId="5349" builtinId="8" hidden="1"/>
    <cellStyle name="Hyperlink" xfId="5397" builtinId="8" hidden="1"/>
    <cellStyle name="Hyperlink" xfId="5477" builtinId="8" hidden="1"/>
    <cellStyle name="Hyperlink" xfId="5533" builtinId="8" hidden="1"/>
    <cellStyle name="Hyperlink" xfId="5573" builtinId="8" hidden="1"/>
    <cellStyle name="Hyperlink" xfId="5664" builtinId="8" hidden="1"/>
    <cellStyle name="Hyperlink" xfId="5721" builtinId="8" hidden="1"/>
    <cellStyle name="Hyperlink" xfId="5761" builtinId="8" hidden="1"/>
    <cellStyle name="Hyperlink" xfId="5849" builtinId="8" hidden="1"/>
    <cellStyle name="Hyperlink" xfId="5897" builtinId="8" hidden="1"/>
    <cellStyle name="Hyperlink" xfId="5645" builtinId="8" hidden="1"/>
    <cellStyle name="Hyperlink" xfId="6038" builtinId="8" hidden="1"/>
    <cellStyle name="Hyperlink" xfId="6078" builtinId="8" hidden="1"/>
    <cellStyle name="Hyperlink" xfId="6214" builtinId="8" hidden="1"/>
    <cellStyle name="Hyperlink" xfId="6252" builtinId="8" hidden="1"/>
    <cellStyle name="Hyperlink" xfId="6292" builtinId="8" hidden="1"/>
    <cellStyle name="Hyperlink" xfId="6388" builtinId="8" hidden="1"/>
    <cellStyle name="Hyperlink" xfId="6428" builtinId="8" hidden="1"/>
    <cellStyle name="Hyperlink" xfId="6476" builtinId="8" hidden="1"/>
    <cellStyle name="Hyperlink" xfId="6574" builtinId="8" hidden="1"/>
    <cellStyle name="Hyperlink" xfId="6615" builtinId="8" hidden="1"/>
    <cellStyle name="Hyperlink" xfId="6655" builtinId="8" hidden="1"/>
    <cellStyle name="Hyperlink" xfId="6751" builtinId="8" hidden="1"/>
    <cellStyle name="Hyperlink" xfId="6799" builtinId="8" hidden="1"/>
    <cellStyle name="Hyperlink" xfId="6836" builtinId="8" hidden="1"/>
    <cellStyle name="Hyperlink" xfId="6932" builtinId="8" hidden="1"/>
    <cellStyle name="Hyperlink" xfId="6972" builtinId="8" hidden="1"/>
    <cellStyle name="Hyperlink" xfId="7020" builtinId="8" hidden="1"/>
    <cellStyle name="Hyperlink" xfId="7156" builtinId="8" hidden="1"/>
    <cellStyle name="Hyperlink" xfId="7196" builtinId="8" hidden="1"/>
    <cellStyle name="Hyperlink" xfId="7292" builtinId="8" hidden="1"/>
    <cellStyle name="Hyperlink" xfId="7340" builtinId="8" hidden="1"/>
    <cellStyle name="Hyperlink" xfId="7388" builtinId="8" hidden="1"/>
    <cellStyle name="Hyperlink" xfId="7478" builtinId="8" hidden="1"/>
    <cellStyle name="Hyperlink" xfId="7519" builtinId="8" hidden="1"/>
    <cellStyle name="Hyperlink" xfId="7575" builtinId="8" hidden="1"/>
    <cellStyle name="Hyperlink" xfId="7663" builtinId="8" hidden="1"/>
    <cellStyle name="Hyperlink" xfId="7703" builtinId="8" hidden="1"/>
    <cellStyle name="Hyperlink" xfId="7756" builtinId="8" hidden="1"/>
    <cellStyle name="Hyperlink" xfId="7836" builtinId="8" hidden="1"/>
    <cellStyle name="Hyperlink" xfId="7884" builtinId="8" hidden="1"/>
    <cellStyle name="Hyperlink" xfId="7932" builtinId="8" hidden="1"/>
    <cellStyle name="Hyperlink" xfId="7994" builtinId="8" hidden="1"/>
    <cellStyle name="Hyperlink" xfId="7962" builtinId="8" hidden="1"/>
    <cellStyle name="Hyperlink" xfId="7934" builtinId="8" hidden="1"/>
    <cellStyle name="Hyperlink" xfId="7918" builtinId="8" hidden="1"/>
    <cellStyle name="Hyperlink" xfId="7902" builtinId="8" hidden="1"/>
    <cellStyle name="Hyperlink" xfId="7874" builtinId="8" hidden="1"/>
    <cellStyle name="Hyperlink" xfId="7856" builtinId="8" hidden="1"/>
    <cellStyle name="Hyperlink" xfId="7842" builtinId="8" hidden="1"/>
    <cellStyle name="Hyperlink" xfId="7814" builtinId="8" hidden="1"/>
    <cellStyle name="Hyperlink" xfId="7794" builtinId="8" hidden="1"/>
    <cellStyle name="Hyperlink" xfId="7782" builtinId="8" hidden="1"/>
    <cellStyle name="Hyperlink" xfId="7750" builtinId="8" hidden="1"/>
    <cellStyle name="Hyperlink" xfId="5083" builtinId="8" hidden="1"/>
    <cellStyle name="Hyperlink" xfId="4735" builtinId="8" hidden="1"/>
    <cellStyle name="Hyperlink" xfId="4065" builtinId="8" hidden="1"/>
    <cellStyle name="Hyperlink" xfId="3716" builtinId="8" hidden="1"/>
    <cellStyle name="Hyperlink" xfId="1305" builtinId="8" hidden="1"/>
    <cellStyle name="Hyperlink" xfId="1401" builtinId="8" hidden="1"/>
    <cellStyle name="Hyperlink" xfId="1496" builtinId="8" hidden="1"/>
    <cellStyle name="Hyperlink" xfId="1690" builtinId="8" hidden="1"/>
    <cellStyle name="Hyperlink" xfId="971" builtinId="8" hidden="1"/>
    <cellStyle name="Hyperlink" xfId="1886" builtinId="8" hidden="1"/>
    <cellStyle name="Hyperlink" xfId="2080" builtinId="8" hidden="1"/>
    <cellStyle name="Hyperlink" xfId="2182" builtinId="8" hidden="1"/>
    <cellStyle name="Hyperlink" xfId="2278" builtinId="8" hidden="1"/>
    <cellStyle name="Hyperlink" xfId="2471" builtinId="8" hidden="1"/>
    <cellStyle name="Hyperlink" xfId="2567" builtinId="8" hidden="1"/>
    <cellStyle name="Hyperlink" xfId="2665" builtinId="8" hidden="1"/>
    <cellStyle name="Hyperlink" xfId="2861" builtinId="8" hidden="1"/>
    <cellStyle name="Hyperlink" xfId="2397" builtinId="8" hidden="1"/>
    <cellStyle name="Hyperlink" xfId="1710" builtinId="8" hidden="1"/>
    <cellStyle name="Hyperlink" xfId="1868" builtinId="8" hidden="1"/>
    <cellStyle name="Hyperlink" xfId="1964" builtinId="8" hidden="1"/>
    <cellStyle name="Hyperlink" xfId="2160" builtinId="8" hidden="1"/>
    <cellStyle name="Hyperlink" xfId="2272" builtinId="8" hidden="1"/>
    <cellStyle name="Hyperlink" xfId="2352" builtinId="8" hidden="1"/>
    <cellStyle name="Hyperlink" xfId="2541" builtinId="8" hidden="1"/>
    <cellStyle name="Hyperlink" xfId="2653" builtinId="8" hidden="1"/>
    <cellStyle name="Hyperlink" xfId="2767" builtinId="8" hidden="1"/>
    <cellStyle name="Hyperlink" xfId="2881" builtinId="8" hidden="1"/>
    <cellStyle name="Hyperlink" xfId="2869" builtinId="8" hidden="1"/>
    <cellStyle name="Hyperlink" xfId="2853" builtinId="8" hidden="1"/>
    <cellStyle name="Hyperlink" xfId="2825" builtinId="8" hidden="1"/>
    <cellStyle name="Hyperlink" xfId="2811" builtinId="8" hidden="1"/>
    <cellStyle name="Hyperlink" xfId="2797" builtinId="8" hidden="1"/>
    <cellStyle name="Hyperlink" xfId="2771" builtinId="8" hidden="1"/>
    <cellStyle name="Hyperlink" xfId="2741" builtinId="8" hidden="1"/>
    <cellStyle name="Hyperlink" xfId="2711" builtinId="8" hidden="1"/>
    <cellStyle name="Hyperlink" xfId="2699" builtinId="8" hidden="1"/>
    <cellStyle name="Hyperlink" xfId="2683" builtinId="8" hidden="1"/>
    <cellStyle name="Hyperlink" xfId="2657" builtinId="8" hidden="1"/>
    <cellStyle name="Hyperlink" xfId="2645" builtinId="8" hidden="1"/>
    <cellStyle name="Hyperlink" xfId="2629" builtinId="8" hidden="1"/>
    <cellStyle name="Hyperlink" xfId="2601" builtinId="8" hidden="1"/>
    <cellStyle name="Hyperlink" xfId="2585" builtinId="8" hidden="1"/>
    <cellStyle name="Hyperlink" xfId="2575" builtinId="8" hidden="1"/>
    <cellStyle name="Hyperlink" xfId="2547" builtinId="8" hidden="1"/>
    <cellStyle name="Hyperlink" xfId="2531" builtinId="8" hidden="1"/>
    <cellStyle name="Hyperlink" xfId="2517" builtinId="8" hidden="1"/>
    <cellStyle name="Hyperlink" xfId="2489" builtinId="8" hidden="1"/>
    <cellStyle name="Hyperlink" xfId="2475" builtinId="8" hidden="1"/>
    <cellStyle name="Hyperlink" xfId="2435" builtinId="8" hidden="1"/>
    <cellStyle name="Hyperlink" xfId="2419" builtinId="8" hidden="1"/>
    <cellStyle name="Hyperlink" xfId="2407" builtinId="8" hidden="1"/>
    <cellStyle name="Hyperlink" xfId="2382" builtinId="8" hidden="1"/>
    <cellStyle name="Hyperlink" xfId="2366" builtinId="8" hidden="1"/>
    <cellStyle name="Hyperlink" xfId="2356" builtinId="8" hidden="1"/>
    <cellStyle name="Hyperlink" xfId="2324" builtinId="8" hidden="1"/>
    <cellStyle name="Hyperlink" xfId="2312" builtinId="8" hidden="1"/>
    <cellStyle name="Hyperlink" xfId="2296" builtinId="8" hidden="1"/>
    <cellStyle name="Hyperlink" xfId="2268" builtinId="8" hidden="1"/>
    <cellStyle name="Hyperlink" xfId="2258" builtinId="8" hidden="1"/>
    <cellStyle name="Hyperlink" xfId="2242" builtinId="8" hidden="1"/>
    <cellStyle name="Hyperlink" xfId="2214" builtinId="8" hidden="1"/>
    <cellStyle name="Hyperlink" xfId="2200" builtinId="8" hidden="1"/>
    <cellStyle name="Hyperlink" xfId="2186" builtinId="8" hidden="1"/>
    <cellStyle name="Hyperlink" xfId="2145" builtinId="8" hidden="1"/>
    <cellStyle name="Hyperlink" xfId="2129" builtinId="8" hidden="1"/>
    <cellStyle name="Hyperlink" xfId="2101" builtinId="8" hidden="1"/>
    <cellStyle name="Hyperlink" xfId="2089" builtinId="8" hidden="1"/>
    <cellStyle name="Hyperlink" xfId="2070" builtinId="8" hidden="1"/>
    <cellStyle name="Hyperlink" xfId="2042" builtinId="8" hidden="1"/>
    <cellStyle name="Hyperlink" xfId="2026" builtinId="8" hidden="1"/>
    <cellStyle name="Hyperlink" xfId="2016" builtinId="8" hidden="1"/>
    <cellStyle name="Hyperlink" xfId="1988" builtinId="8" hidden="1"/>
    <cellStyle name="Hyperlink" xfId="1972" builtinId="8" hidden="1"/>
    <cellStyle name="Hyperlink" xfId="1960" builtinId="8" hidden="1"/>
    <cellStyle name="Hyperlink" xfId="1930" builtinId="8" hidden="1"/>
    <cellStyle name="Hyperlink" xfId="1918" builtinId="8" hidden="1"/>
    <cellStyle name="Hyperlink" xfId="1904" builtinId="8" hidden="1"/>
    <cellStyle name="Hyperlink" xfId="1876" builtinId="8" hidden="1"/>
    <cellStyle name="Hyperlink" xfId="1848" builtinId="8" hidden="1"/>
    <cellStyle name="Hyperlink" xfId="1822" builtinId="8" hidden="1"/>
    <cellStyle name="Hyperlink" xfId="1806" builtinId="8" hidden="1"/>
    <cellStyle name="Hyperlink" xfId="1794" builtinId="8" hidden="1"/>
    <cellStyle name="Hyperlink" xfId="1768" builtinId="8" hidden="1"/>
    <cellStyle name="Hyperlink" xfId="1752" builtinId="8" hidden="1"/>
    <cellStyle name="Hyperlink" xfId="1736" builtinId="8" hidden="1"/>
    <cellStyle name="Hyperlink" xfId="1708" builtinId="8" hidden="1"/>
    <cellStyle name="Hyperlink" xfId="1698" builtinId="8" hidden="1"/>
    <cellStyle name="Hyperlink" xfId="1682" builtinId="8" hidden="1"/>
    <cellStyle name="Hyperlink" xfId="1654" builtinId="8" hidden="1"/>
    <cellStyle name="Hyperlink" xfId="1640" builtinId="8" hidden="1"/>
    <cellStyle name="Hyperlink" xfId="1626" builtinId="8" hidden="1"/>
    <cellStyle name="Hyperlink" xfId="1600" builtinId="8" hidden="1"/>
    <cellStyle name="Hyperlink" xfId="1586" builtinId="8" hidden="1"/>
    <cellStyle name="Hyperlink" xfId="1542" builtinId="8" hidden="1"/>
    <cellStyle name="Hyperlink" xfId="1530" builtinId="8" hidden="1"/>
    <cellStyle name="Hyperlink" xfId="1514" builtinId="8" hidden="1"/>
    <cellStyle name="Hyperlink" xfId="1491" builtinId="8" hidden="1"/>
    <cellStyle name="Hyperlink" xfId="1479" builtinId="8" hidden="1"/>
    <cellStyle name="Hyperlink" xfId="1463" builtinId="8" hidden="1"/>
    <cellStyle name="Hyperlink" xfId="1435" builtinId="8" hidden="1"/>
    <cellStyle name="Hyperlink" xfId="1419" builtinId="8" hidden="1"/>
    <cellStyle name="Hyperlink" xfId="1407" builtinId="8" hidden="1"/>
    <cellStyle name="Hyperlink" xfId="1381" builtinId="8" hidden="1"/>
    <cellStyle name="Hyperlink" xfId="1365" builtinId="8" hidden="1"/>
    <cellStyle name="Hyperlink" xfId="1351" builtinId="8" hidden="1"/>
    <cellStyle name="Hyperlink" xfId="1323" builtinId="8" hidden="1"/>
    <cellStyle name="Hyperlink" xfId="1309" builtinId="8" hidden="1"/>
    <cellStyle name="Hyperlink" xfId="1295" builtinId="8" hidden="1"/>
    <cellStyle name="Hyperlink" xfId="1252" builtinId="8" hidden="1"/>
    <cellStyle name="Hyperlink" xfId="2911" builtinId="8" hidden="1"/>
    <cellStyle name="Hyperlink" xfId="3013" builtinId="8" hidden="1"/>
    <cellStyle name="Hyperlink" xfId="3070" builtinId="8" hidden="1"/>
    <cellStyle name="Hyperlink" xfId="3110" builtinId="8" hidden="1"/>
    <cellStyle name="Hyperlink" xfId="3222" builtinId="8" hidden="1"/>
    <cellStyle name="Hyperlink" xfId="3262" builtinId="8" hidden="1"/>
    <cellStyle name="Hyperlink" xfId="3315" builtinId="8" hidden="1"/>
    <cellStyle name="Hyperlink" xfId="3411" builtinId="8" hidden="1"/>
    <cellStyle name="Hyperlink" xfId="3451" builtinId="8" hidden="1"/>
    <cellStyle name="Hyperlink" xfId="3507" builtinId="8" hidden="1"/>
    <cellStyle name="Hyperlink" xfId="3604" builtinId="8" hidden="1"/>
    <cellStyle name="Hyperlink" xfId="3652" builtinId="8" hidden="1"/>
    <cellStyle name="Hyperlink" xfId="3700" builtinId="8" hidden="1"/>
    <cellStyle name="Hyperlink" xfId="3796" builtinId="8" hidden="1"/>
    <cellStyle name="Hyperlink" xfId="3904" builtinId="8" hidden="1"/>
    <cellStyle name="Hyperlink" xfId="4001" builtinId="8" hidden="1"/>
    <cellStyle name="Hyperlink" xfId="4041" builtinId="8" hidden="1"/>
    <cellStyle name="Hyperlink" xfId="4097" builtinId="8" hidden="1"/>
    <cellStyle name="Hyperlink" xfId="4190" builtinId="8" hidden="1"/>
    <cellStyle name="Hyperlink" xfId="4246" builtinId="8" hidden="1"/>
    <cellStyle name="Hyperlink" xfId="4286" builtinId="8" hidden="1"/>
    <cellStyle name="Hyperlink" xfId="4382" builtinId="8" hidden="1"/>
    <cellStyle name="Hyperlink" xfId="4438" builtinId="8" hidden="1"/>
    <cellStyle name="Hyperlink" xfId="4469" builtinId="8" hidden="1"/>
    <cellStyle name="Hyperlink" xfId="3844" builtinId="8" hidden="1"/>
    <cellStyle name="Hyperlink" xfId="1268" builtinId="8" hidden="1"/>
    <cellStyle name="Hyperlink" xfId="1572" builtinId="8" hidden="1"/>
    <cellStyle name="Hyperlink" xfId="1862" builtinId="8" hidden="1"/>
    <cellStyle name="Hyperlink" xfId="2157" builtinId="8" hidden="1"/>
    <cellStyle name="Hyperlink" xfId="2463" builtinId="8" hidden="1"/>
    <cellStyle name="Hyperlink" xfId="2757" builtinId="8" hidden="1"/>
    <cellStyle name="Hyperlink" xfId="1774" builtinId="8" hidden="1"/>
    <cellStyle name="Hyperlink" xfId="3379" builtinId="8" hidden="1"/>
    <cellStyle name="Hyperlink" xfId="7976" builtinId="8" hidden="1"/>
    <cellStyle name="Hyperlink" xfId="7116" builtinId="8" hidden="1"/>
    <cellStyle name="Hyperlink" xfId="6118" builtinId="8" hidden="1"/>
    <cellStyle name="Hyperlink" xfId="6868" builtinId="8" hidden="1"/>
    <cellStyle name="Hyperlink" xfId="7484" builtinId="8" hidden="1"/>
    <cellStyle name="Hyperlink" xfId="7010" builtinId="8" hidden="1"/>
    <cellStyle name="Hyperlink" xfId="6936" builtinId="8" hidden="1"/>
    <cellStyle name="Hyperlink" xfId="6763" builtinId="8" hidden="1"/>
    <cellStyle name="Hyperlink" xfId="6930" builtinId="8" hidden="1"/>
    <cellStyle name="Hyperlink" xfId="7208" builtinId="8" hidden="1"/>
    <cellStyle name="Hyperlink" xfId="7110" builtinId="8" hidden="1"/>
    <cellStyle name="Hyperlink" xfId="6206" builtinId="8" hidden="1"/>
    <cellStyle name="Hyperlink" xfId="6174" builtinId="8" hidden="1"/>
    <cellStyle name="Hyperlink" xfId="6150" builtinId="8" hidden="1"/>
    <cellStyle name="Hyperlink" xfId="6142" builtinId="8" hidden="1"/>
    <cellStyle name="Hyperlink" xfId="6110" builtinId="8" hidden="1"/>
    <cellStyle name="Hyperlink" xfId="6102" builtinId="8" hidden="1"/>
    <cellStyle name="Hyperlink" xfId="6086" builtinId="8" hidden="1"/>
    <cellStyle name="Hyperlink" xfId="6054" builtinId="8" hidden="1"/>
    <cellStyle name="Hyperlink" xfId="6046" builtinId="8" hidden="1"/>
    <cellStyle name="Hyperlink" xfId="6014" builtinId="8" hidden="1"/>
    <cellStyle name="Hyperlink" xfId="5990" builtinId="8" hidden="1"/>
    <cellStyle name="Hyperlink" xfId="5974" builtinId="8" hidden="1"/>
    <cellStyle name="Hyperlink" xfId="5958" builtinId="8" hidden="1"/>
    <cellStyle name="Hyperlink" xfId="5929" builtinId="8" hidden="1"/>
    <cellStyle name="Hyperlink" xfId="5921" builtinId="8" hidden="1"/>
    <cellStyle name="Hyperlink" xfId="5913" builtinId="8" hidden="1"/>
    <cellStyle name="Hyperlink" xfId="5881" builtinId="8" hidden="1"/>
    <cellStyle name="Hyperlink" xfId="5865" builtinId="8" hidden="1"/>
    <cellStyle name="Hyperlink" xfId="5833" builtinId="8" hidden="1"/>
    <cellStyle name="Hyperlink" xfId="5793" builtinId="8" hidden="1"/>
    <cellStyle name="Hyperlink" xfId="5785" builtinId="8" hidden="1"/>
    <cellStyle name="Hyperlink" xfId="5753" builtinId="8" hidden="1"/>
    <cellStyle name="Hyperlink" xfId="5737" builtinId="8" hidden="1"/>
    <cellStyle name="Hyperlink" xfId="5729" builtinId="8" hidden="1"/>
    <cellStyle name="Hyperlink" xfId="5696" builtinId="8" hidden="1"/>
    <cellStyle name="Hyperlink" xfId="5672" builtinId="8" hidden="1"/>
    <cellStyle name="Hyperlink" xfId="5656" builtinId="8" hidden="1"/>
    <cellStyle name="Hyperlink" xfId="5629" builtinId="8" hidden="1"/>
    <cellStyle name="Hyperlink" xfId="5605" builtinId="8" hidden="1"/>
    <cellStyle name="Hyperlink" xfId="5597" builtinId="8" hidden="1"/>
    <cellStyle name="Hyperlink" xfId="5565" builtinId="8" hidden="1"/>
    <cellStyle name="Hyperlink" xfId="5557" builtinId="8" hidden="1"/>
    <cellStyle name="Hyperlink" xfId="5541" builtinId="8" hidden="1"/>
    <cellStyle name="Hyperlink" xfId="5501" builtinId="8" hidden="1"/>
    <cellStyle name="Hyperlink" xfId="5493" builtinId="8" hidden="1"/>
    <cellStyle name="Hyperlink" xfId="5469" builtinId="8" hidden="1"/>
    <cellStyle name="Hyperlink" xfId="5445" builtinId="8" hidden="1"/>
    <cellStyle name="Hyperlink" xfId="5429" builtinId="8" hidden="1"/>
    <cellStyle name="Hyperlink" xfId="5413" builtinId="8" hidden="1"/>
    <cellStyle name="Hyperlink" xfId="5381" builtinId="8" hidden="1"/>
    <cellStyle name="Hyperlink" xfId="5373" builtinId="8" hidden="1"/>
    <cellStyle name="Hyperlink" xfId="5365" builtinId="8" hidden="1"/>
    <cellStyle name="Hyperlink" xfId="5315" builtinId="8" hidden="1"/>
    <cellStyle name="Hyperlink" xfId="5307" builtinId="8" hidden="1"/>
    <cellStyle name="Hyperlink" xfId="5283" builtinId="8" hidden="1"/>
    <cellStyle name="Hyperlink" xfId="5339" builtinId="8" hidden="1"/>
    <cellStyle name="Hyperlink" xfId="5688" builtinId="8" hidden="1"/>
    <cellStyle name="Hyperlink" xfId="5857" builtinId="8" hidden="1"/>
    <cellStyle name="Hyperlink" xfId="6356" builtinId="8" hidden="1"/>
    <cellStyle name="Hyperlink" xfId="6526" builtinId="8" hidden="1"/>
    <cellStyle name="Hyperlink" xfId="7212" builtinId="8" hidden="1"/>
    <cellStyle name="Hyperlink" xfId="7380" builtinId="8" hidden="1"/>
    <cellStyle name="Hyperlink" xfId="7724" builtinId="8" hidden="1"/>
    <cellStyle name="Hyperlink" xfId="7982" builtinId="8" hidden="1"/>
    <cellStyle name="Hyperlink" xfId="7866" builtinId="8" hidden="1"/>
    <cellStyle name="Hyperlink" xfId="7810" builtinId="8" hidden="1"/>
    <cellStyle name="Hyperlink" xfId="7224" builtinId="8" hidden="1"/>
    <cellStyle name="Hyperlink" xfId="7226" builtinId="8" hidden="1"/>
    <cellStyle name="Hyperlink" xfId="7230" builtinId="8" hidden="1"/>
    <cellStyle name="Hyperlink" xfId="7240" builtinId="8" hidden="1"/>
    <cellStyle name="Hyperlink" xfId="7246" builtinId="8" hidden="1"/>
    <cellStyle name="Hyperlink" xfId="7250" builtinId="8" hidden="1"/>
    <cellStyle name="Hyperlink" xfId="7258" builtinId="8" hidden="1"/>
    <cellStyle name="Hyperlink" xfId="7266" builtinId="8" hidden="1"/>
    <cellStyle name="Hyperlink" xfId="7270" builtinId="8" hidden="1"/>
    <cellStyle name="Hyperlink" xfId="7280" builtinId="8" hidden="1"/>
    <cellStyle name="Hyperlink" xfId="7282" builtinId="8" hidden="1"/>
    <cellStyle name="Hyperlink" xfId="7288" builtinId="8" hidden="1"/>
    <cellStyle name="Hyperlink" xfId="7302" builtinId="8" hidden="1"/>
    <cellStyle name="Hyperlink" xfId="7304" builtinId="8" hidden="1"/>
    <cellStyle name="Hyperlink" xfId="7312" builtinId="8" hidden="1"/>
    <cellStyle name="Hyperlink" xfId="7320" builtinId="8" hidden="1"/>
    <cellStyle name="Hyperlink" xfId="7326" builtinId="8" hidden="1"/>
    <cellStyle name="Hyperlink" xfId="7330" builtinId="8" hidden="1"/>
    <cellStyle name="Hyperlink" xfId="7342" builtinId="8" hidden="1"/>
    <cellStyle name="Hyperlink" xfId="7344" builtinId="8" hidden="1"/>
    <cellStyle name="Hyperlink" xfId="7346" builtinId="8" hidden="1"/>
    <cellStyle name="Hyperlink" xfId="7358" builtinId="8" hidden="1"/>
    <cellStyle name="Hyperlink" xfId="7362" builtinId="8" hidden="1"/>
    <cellStyle name="Hyperlink" xfId="7368" builtinId="8" hidden="1"/>
    <cellStyle name="Hyperlink" xfId="7376" builtinId="8" hidden="1"/>
    <cellStyle name="Hyperlink" xfId="7386" builtinId="8" hidden="1"/>
    <cellStyle name="Hyperlink" xfId="7398" builtinId="8" hidden="1"/>
    <cellStyle name="Hyperlink" xfId="7400" builtinId="8" hidden="1"/>
    <cellStyle name="Hyperlink" xfId="7406" builtinId="8" hidden="1"/>
    <cellStyle name="Hyperlink" xfId="7420" builtinId="8" hidden="1"/>
    <cellStyle name="Hyperlink" xfId="7424" builtinId="8" hidden="1"/>
    <cellStyle name="Hyperlink" xfId="7432" builtinId="8" hidden="1"/>
    <cellStyle name="Hyperlink" xfId="7440" builtinId="8" hidden="1"/>
    <cellStyle name="Hyperlink" xfId="7444" builtinId="8" hidden="1"/>
    <cellStyle name="Hyperlink" xfId="7450" builtinId="8" hidden="1"/>
    <cellStyle name="Hyperlink" xfId="7460" builtinId="8" hidden="1"/>
    <cellStyle name="Hyperlink" xfId="7464" builtinId="8" hidden="1"/>
    <cellStyle name="Hyperlink" xfId="7466" builtinId="8" hidden="1"/>
    <cellStyle name="Hyperlink" xfId="7476" builtinId="8" hidden="1"/>
    <cellStyle name="Hyperlink" xfId="7482" builtinId="8" hidden="1"/>
    <cellStyle name="Hyperlink" xfId="7489" builtinId="8" hidden="1"/>
    <cellStyle name="Hyperlink" xfId="7497" builtinId="8" hidden="1"/>
    <cellStyle name="Hyperlink" xfId="7505" builtinId="8" hidden="1"/>
    <cellStyle name="Hyperlink" xfId="7507" builtinId="8" hidden="1"/>
    <cellStyle name="Hyperlink" xfId="7517" builtinId="8" hidden="1"/>
    <cellStyle name="Hyperlink" xfId="7521" builtinId="8" hidden="1"/>
    <cellStyle name="Hyperlink" xfId="7525" builtinId="8" hidden="1"/>
    <cellStyle name="Hyperlink" xfId="7539" builtinId="8" hidden="1"/>
    <cellStyle name="Hyperlink" xfId="7541" builtinId="8" hidden="1"/>
    <cellStyle name="Hyperlink" xfId="7549" builtinId="8" hidden="1"/>
    <cellStyle name="Hyperlink" xfId="7557" builtinId="8" hidden="1"/>
    <cellStyle name="Hyperlink" xfId="7563" builtinId="8" hidden="1"/>
    <cellStyle name="Hyperlink" xfId="7569" builtinId="8" hidden="1"/>
    <cellStyle name="Hyperlink" xfId="7579" builtinId="8" hidden="1"/>
    <cellStyle name="Hyperlink" xfId="7581" builtinId="8" hidden="1"/>
    <cellStyle name="Hyperlink" xfId="7585" builtinId="8" hidden="1"/>
    <cellStyle name="Hyperlink" xfId="7601" builtinId="8" hidden="1"/>
    <cellStyle name="Hyperlink" xfId="7605" builtinId="8" hidden="1"/>
    <cellStyle name="Hyperlink" xfId="7613" builtinId="8" hidden="1"/>
    <cellStyle name="Hyperlink" xfId="7621" builtinId="8" hidden="1"/>
    <cellStyle name="Hyperlink" xfId="7625" builtinId="8" hidden="1"/>
    <cellStyle name="Hyperlink" xfId="7635" builtinId="8" hidden="1"/>
    <cellStyle name="Hyperlink" xfId="7637" builtinId="8" hidden="1"/>
    <cellStyle name="Hyperlink" xfId="7645" builtinId="8" hidden="1"/>
    <cellStyle name="Hyperlink" xfId="7657" builtinId="8" hidden="1"/>
    <cellStyle name="Hyperlink" xfId="7659" builtinId="8" hidden="1"/>
    <cellStyle name="Hyperlink" xfId="7667" builtinId="8" hidden="1"/>
    <cellStyle name="Hyperlink" xfId="7675" builtinId="8" hidden="1"/>
    <cellStyle name="Hyperlink" xfId="7681" builtinId="8" hidden="1"/>
    <cellStyle name="Hyperlink" xfId="7685" builtinId="8" hidden="1"/>
    <cellStyle name="Hyperlink" xfId="7697" builtinId="8" hidden="1"/>
    <cellStyle name="Hyperlink" xfId="7699" builtinId="8" hidden="1"/>
    <cellStyle name="Hyperlink" xfId="7701" builtinId="8" hidden="1"/>
    <cellStyle name="Hyperlink" xfId="7710" builtinId="8" hidden="1"/>
    <cellStyle name="Hyperlink" xfId="7714" builtinId="8" hidden="1"/>
    <cellStyle name="Hyperlink" xfId="7720" builtinId="8" hidden="1"/>
    <cellStyle name="Hyperlink" xfId="7728" builtinId="8" hidden="1"/>
    <cellStyle name="Hyperlink" xfId="7736" builtinId="8" hidden="1"/>
    <cellStyle name="Hyperlink" xfId="7738" builtinId="8" hidden="1"/>
    <cellStyle name="Hyperlink" xfId="7529" builtinId="8" hidden="1"/>
    <cellStyle name="Hyperlink" xfId="7410" builtinId="8" hidden="1"/>
    <cellStyle name="Hyperlink" xfId="7298" builtinId="8" hidden="1"/>
    <cellStyle name="Hyperlink" xfId="6974" builtinId="8" hidden="1"/>
    <cellStyle name="Hyperlink" xfId="6978" builtinId="8" hidden="1"/>
    <cellStyle name="Hyperlink" xfId="6984" builtinId="8" hidden="1"/>
    <cellStyle name="Hyperlink" xfId="6992" builtinId="8" hidden="1"/>
    <cellStyle name="Hyperlink" xfId="7000" builtinId="8" hidden="1"/>
    <cellStyle name="Hyperlink" xfId="7014" builtinId="8" hidden="1"/>
    <cellStyle name="Hyperlink" xfId="7002" builtinId="8" hidden="1"/>
    <cellStyle name="Hyperlink" xfId="7595" builtinId="8" hidden="1"/>
    <cellStyle name="Hyperlink" xfId="7384" builtinId="8" hidden="1"/>
    <cellStyle name="Hyperlink" xfId="6703" builtinId="8" hidden="1"/>
    <cellStyle name="Hyperlink" xfId="5817" builtinId="8" hidden="1"/>
    <cellStyle name="Hyperlink" xfId="7631" builtinId="8" hidden="1"/>
    <cellStyle name="Hyperlink" xfId="7607" builtinId="8" hidden="1"/>
    <cellStyle name="Hyperlink" xfId="7599" builtinId="8" hidden="1"/>
    <cellStyle name="Hyperlink" xfId="7567" builtinId="8" hidden="1"/>
    <cellStyle name="Hyperlink" xfId="7543" builtinId="8" hidden="1"/>
    <cellStyle name="Hyperlink" xfId="7535" builtinId="8" hidden="1"/>
    <cellStyle name="Hyperlink" xfId="7503" builtinId="8" hidden="1"/>
    <cellStyle name="Hyperlink" xfId="7487" builtinId="8" hidden="1"/>
    <cellStyle name="Hyperlink" xfId="7470" builtinId="8" hidden="1"/>
    <cellStyle name="Hyperlink" xfId="7446" builtinId="8" hidden="1"/>
    <cellStyle name="Hyperlink" xfId="7422" builtinId="8" hidden="1"/>
    <cellStyle name="Hyperlink" xfId="7414" builtinId="8" hidden="1"/>
    <cellStyle name="Hyperlink" xfId="7372" builtinId="8" hidden="1"/>
    <cellStyle name="Hyperlink" xfId="7356" builtinId="8" hidden="1"/>
    <cellStyle name="Hyperlink" xfId="7348" builtinId="8" hidden="1"/>
    <cellStyle name="Hyperlink" xfId="7316" builtinId="8" hidden="1"/>
    <cellStyle name="Hyperlink" xfId="7308" builtinId="8" hidden="1"/>
    <cellStyle name="Hyperlink" xfId="7284" builtinId="8" hidden="1"/>
    <cellStyle name="Hyperlink" xfId="7260" builtinId="8" hidden="1"/>
    <cellStyle name="Hyperlink" xfId="7244" builtinId="8" hidden="1"/>
    <cellStyle name="Hyperlink" xfId="7228" builtinId="8" hidden="1"/>
    <cellStyle name="Hyperlink" xfId="7188" builtinId="8" hidden="1"/>
    <cellStyle name="Hyperlink" xfId="7180" builtinId="8" hidden="1"/>
    <cellStyle name="Hyperlink" xfId="7164" builtinId="8" hidden="1"/>
    <cellStyle name="Hyperlink" xfId="7132" builtinId="8" hidden="1"/>
    <cellStyle name="Hyperlink" xfId="7124" builtinId="8" hidden="1"/>
    <cellStyle name="Hyperlink" xfId="7084" builtinId="8" hidden="1"/>
    <cellStyle name="Hyperlink" xfId="7060" builtinId="8" hidden="1"/>
    <cellStyle name="Hyperlink" xfId="7052" builtinId="8" hidden="1"/>
    <cellStyle name="Hyperlink" xfId="7004" builtinId="8" hidden="1"/>
    <cellStyle name="Hyperlink" xfId="6996" builtinId="8" hidden="1"/>
    <cellStyle name="Hyperlink" xfId="6988" builtinId="8" hidden="1"/>
    <cellStyle name="Hyperlink" xfId="6956" builtinId="8" hidden="1"/>
    <cellStyle name="Hyperlink" xfId="6940" builtinId="8" hidden="1"/>
    <cellStyle name="Hyperlink" xfId="6924" builtinId="8" hidden="1"/>
    <cellStyle name="Hyperlink" xfId="6900" builtinId="8" hidden="1"/>
    <cellStyle name="Hyperlink" xfId="6876" builtinId="8" hidden="1"/>
    <cellStyle name="Hyperlink" xfId="6860" builtinId="8" hidden="1"/>
    <cellStyle name="Hyperlink" xfId="6828" builtinId="8" hidden="1"/>
    <cellStyle name="Hyperlink" xfId="6815" builtinId="8" hidden="1"/>
    <cellStyle name="Hyperlink" xfId="6807" builtinId="8" hidden="1"/>
    <cellStyle name="Hyperlink" xfId="6775" builtinId="8" hidden="1"/>
    <cellStyle name="Hyperlink" xfId="6767" builtinId="8" hidden="1"/>
    <cellStyle name="Hyperlink" xfId="6743" builtinId="8" hidden="1"/>
    <cellStyle name="Hyperlink" xfId="6719" builtinId="8" hidden="1"/>
    <cellStyle name="Hyperlink" xfId="6687" builtinId="8" hidden="1"/>
    <cellStyle name="Hyperlink" xfId="6679" builtinId="8" hidden="1"/>
    <cellStyle name="Hyperlink" xfId="6647" builtinId="8" hidden="1"/>
    <cellStyle name="Hyperlink" xfId="6639" builtinId="8" hidden="1"/>
    <cellStyle name="Hyperlink" xfId="6623" builtinId="8" hidden="1"/>
    <cellStyle name="Hyperlink" xfId="6590" builtinId="8" hidden="1"/>
    <cellStyle name="Hyperlink" xfId="6582" builtinId="8" hidden="1"/>
    <cellStyle name="Hyperlink" xfId="6558" builtinId="8" hidden="1"/>
    <cellStyle name="Hyperlink" xfId="6542" builtinId="8" hidden="1"/>
    <cellStyle name="Hyperlink" xfId="6508" builtinId="8" hidden="1"/>
    <cellStyle name="Hyperlink" xfId="6492" builtinId="8" hidden="1"/>
    <cellStyle name="Hyperlink" xfId="6460" builtinId="8" hidden="1"/>
    <cellStyle name="Hyperlink" xfId="6452" builtinId="8" hidden="1"/>
    <cellStyle name="Hyperlink" xfId="6444" builtinId="8" hidden="1"/>
    <cellStyle name="Hyperlink" xfId="6412" builtinId="8" hidden="1"/>
    <cellStyle name="Hyperlink" xfId="6396" builtinId="8" hidden="1"/>
    <cellStyle name="Hyperlink" xfId="6380" builtinId="8" hidden="1"/>
    <cellStyle name="Hyperlink" xfId="6348" builtinId="8" hidden="1"/>
    <cellStyle name="Hyperlink" xfId="6324" builtinId="8" hidden="1"/>
    <cellStyle name="Hyperlink" xfId="6316" builtinId="8" hidden="1"/>
    <cellStyle name="Hyperlink" xfId="6284" builtinId="8" hidden="1"/>
    <cellStyle name="Hyperlink" xfId="6268" builtinId="8" hidden="1"/>
    <cellStyle name="Hyperlink" xfId="6260" builtinId="8" hidden="1"/>
    <cellStyle name="Hyperlink" xfId="5346" builtinId="8" hidden="1"/>
    <cellStyle name="Hyperlink" xfId="6230" builtinId="8" hidden="1"/>
    <cellStyle name="Hyperlink" xfId="7100" builtinId="8" hidden="1"/>
    <cellStyle name="Hyperlink" xfId="7896" builtinId="8" hidden="1"/>
    <cellStyle name="Hyperlink" xfId="7906" builtinId="8" hidden="1"/>
    <cellStyle name="Hyperlink" xfId="7910" builtinId="8" hidden="1"/>
    <cellStyle name="Hyperlink" xfId="7912" builtinId="8" hidden="1"/>
    <cellStyle name="Hyperlink" xfId="7928" builtinId="8" hidden="1"/>
    <cellStyle name="Hyperlink" xfId="7930" builtinId="8" hidden="1"/>
    <cellStyle name="Hyperlink" xfId="7938" builtinId="8" hidden="1"/>
    <cellStyle name="Hyperlink" xfId="7944" builtinId="8" hidden="1"/>
    <cellStyle name="Hyperlink" xfId="7952" builtinId="8" hidden="1"/>
    <cellStyle name="Hyperlink" xfId="7954" builtinId="8" hidden="1"/>
    <cellStyle name="Hyperlink" xfId="7966" builtinId="8" hidden="1"/>
    <cellStyle name="Hyperlink" xfId="7970" builtinId="8" hidden="1"/>
    <cellStyle name="Hyperlink" xfId="7974" builtinId="8" hidden="1"/>
    <cellStyle name="Hyperlink" xfId="7986" builtinId="8" hidden="1"/>
    <cellStyle name="Hyperlink" xfId="7992" builtinId="8" hidden="1"/>
    <cellStyle name="Hyperlink" xfId="7998" builtinId="8" hidden="1"/>
    <cellStyle name="Hyperlink" xfId="7988" builtinId="8" hidden="1"/>
    <cellStyle name="Hyperlink" xfId="7964" builtinId="8" hidden="1"/>
    <cellStyle name="Hyperlink" xfId="7956" builtinId="8" hidden="1"/>
    <cellStyle name="Hyperlink" xfId="7924" builtinId="8" hidden="1"/>
    <cellStyle name="Hyperlink" xfId="7916" builtinId="8" hidden="1"/>
    <cellStyle name="Hyperlink" xfId="7900" builtinId="8" hidden="1"/>
    <cellStyle name="Hyperlink" xfId="7860" builtinId="8" hidden="1"/>
    <cellStyle name="Hyperlink" xfId="7852" builtinId="8" hidden="1"/>
    <cellStyle name="Hyperlink" xfId="7828" builtinId="8" hidden="1"/>
    <cellStyle name="Hyperlink" xfId="7804" builtinId="8" hidden="1"/>
    <cellStyle name="Hyperlink" xfId="7788" builtinId="8" hidden="1"/>
    <cellStyle name="Hyperlink" xfId="7772" builtinId="8" hidden="1"/>
    <cellStyle name="Hyperlink" xfId="7740" builtinId="8" hidden="1"/>
    <cellStyle name="Hyperlink" xfId="7732" builtinId="8" hidden="1"/>
    <cellStyle name="Hyperlink" xfId="7411" builtinId="8" hidden="1"/>
    <cellStyle name="Hyperlink" xfId="7679" builtinId="8" hidden="1"/>
    <cellStyle name="Hyperlink" xfId="7671" builtinId="8" hidden="1"/>
    <cellStyle name="Hyperlink" xfId="7647" builtinId="8" hidden="1"/>
    <cellStyle name="Hyperlink" xfId="7774" builtinId="8" hidden="1"/>
    <cellStyle name="Hyperlink" xfId="7784" builtinId="8" hidden="1"/>
    <cellStyle name="Hyperlink" xfId="7790" builtinId="8" hidden="1"/>
    <cellStyle name="Hyperlink" xfId="7792" builtinId="8" hidden="1"/>
    <cellStyle name="Hyperlink" xfId="7802" builtinId="8" hidden="1"/>
    <cellStyle name="Hyperlink" xfId="7806" builtinId="8" hidden="1"/>
    <cellStyle name="Hyperlink" xfId="7816" builtinId="8" hidden="1"/>
    <cellStyle name="Hyperlink" xfId="7824" builtinId="8" hidden="1"/>
    <cellStyle name="Hyperlink" xfId="7832" builtinId="8" hidden="1"/>
    <cellStyle name="Hyperlink" xfId="7834" builtinId="8" hidden="1"/>
    <cellStyle name="Hyperlink" xfId="7846" builtinId="8" hidden="1"/>
    <cellStyle name="Hyperlink" xfId="7848" builtinId="8" hidden="1"/>
    <cellStyle name="Hyperlink" xfId="7854" builtinId="8" hidden="1"/>
    <cellStyle name="Hyperlink" xfId="7864" builtinId="8" hidden="1"/>
    <cellStyle name="Hyperlink" xfId="7878" builtinId="8" hidden="1"/>
    <cellStyle name="Hyperlink" xfId="7886" builtinId="8" hidden="1"/>
    <cellStyle name="Hyperlink" xfId="7890" builtinId="8" hidden="1"/>
    <cellStyle name="Hyperlink" xfId="7870" builtinId="8" hidden="1"/>
    <cellStyle name="Hyperlink" xfId="4830" builtinId="8" hidden="1"/>
    <cellStyle name="Hyperlink" xfId="4918" builtinId="8" hidden="1"/>
    <cellStyle name="Hyperlink" xfId="4998" builtinId="8" hidden="1"/>
    <cellStyle name="Hyperlink" xfId="5251" builtinId="8" hidden="1"/>
    <cellStyle name="Hyperlink" xfId="7746" builtinId="8" hidden="1"/>
    <cellStyle name="Hyperlink" xfId="7758" builtinId="8" hidden="1"/>
    <cellStyle name="Hyperlink" xfId="7762" builtinId="8" hidden="1"/>
    <cellStyle name="Hyperlink" xfId="7770" builtinId="8" hidden="1"/>
    <cellStyle name="Hyperlink" xfId="4153" builtinId="8" hidden="1"/>
    <cellStyle name="Hyperlink" xfId="4318" builtinId="8" hidden="1"/>
    <cellStyle name="Hyperlink" xfId="4477" builtinId="8" hidden="1"/>
    <cellStyle name="Hyperlink" xfId="4567" builtinId="8" hidden="1"/>
    <cellStyle name="Hyperlink" xfId="3896" builtinId="8" hidden="1"/>
    <cellStyle name="Hyperlink" xfId="3977" builtinId="8" hidden="1"/>
    <cellStyle name="Hyperlink" xfId="3636" builtinId="8" hidden="1"/>
    <cellStyle name="Hyperlink" xfId="3547" builtinId="8" hidden="1"/>
    <cellStyle name="Hyperlink" xfId="8682" xr:uid="{A15CAFA8-8F8F-4FCE-B4C9-AF3467B5FCD6}"/>
    <cellStyle name="Hyperlink 2" xfId="8208" xr:uid="{00000000-0005-0000-0000-000056200000}"/>
    <cellStyle name="Hyperlink 2 2" xfId="8684" xr:uid="{AD04DE0E-E575-4A0E-9678-0BF39F676F91}"/>
    <cellStyle name="Hyperlink 2 3" xfId="8683" xr:uid="{C86DD260-ECE3-45C2-B510-66432904BD2E}"/>
    <cellStyle name="Hyperlink 3" xfId="8209" xr:uid="{00000000-0005-0000-0000-000057200000}"/>
    <cellStyle name="Hyperlink 3 2" xfId="8685" xr:uid="{361394A5-9A4F-444A-A9F3-C11DC9C654C3}"/>
    <cellStyle name="Hyperlink 4" xfId="8210" xr:uid="{00000000-0005-0000-0000-000058200000}"/>
    <cellStyle name="Hyperlink 5" xfId="8211" xr:uid="{00000000-0005-0000-0000-000059200000}"/>
    <cellStyle name="Hyperlink 6" xfId="8669" xr:uid="{00000000-0005-0000-0000-00005A200000}"/>
    <cellStyle name="Input 2" xfId="8212" xr:uid="{00000000-0005-0000-0000-00005B200000}"/>
    <cellStyle name="Input 2 10" xfId="8377" xr:uid="{00000000-0005-0000-0000-00005C200000}"/>
    <cellStyle name="Input 2 11" xfId="8578" xr:uid="{00000000-0005-0000-0000-00005D200000}"/>
    <cellStyle name="Input 2 2" xfId="8213" xr:uid="{00000000-0005-0000-0000-00005E200000}"/>
    <cellStyle name="Input 2 2 2" xfId="8214" xr:uid="{00000000-0005-0000-0000-00005F200000}"/>
    <cellStyle name="Input 2 2 2 10" xfId="8397" xr:uid="{00000000-0005-0000-0000-000060200000}"/>
    <cellStyle name="Input 2 2 2 2" xfId="8215" xr:uid="{00000000-0005-0000-0000-000061200000}"/>
    <cellStyle name="Input 2 2 2 2 2" xfId="8501" xr:uid="{00000000-0005-0000-0000-000062200000}"/>
    <cellStyle name="Input 2 2 2 2 3" xfId="8533" xr:uid="{00000000-0005-0000-0000-000063200000}"/>
    <cellStyle name="Input 2 2 2 2 4" xfId="8437" xr:uid="{00000000-0005-0000-0000-000064200000}"/>
    <cellStyle name="Input 2 2 2 2 5" xfId="8598" xr:uid="{00000000-0005-0000-0000-000065200000}"/>
    <cellStyle name="Input 2 2 2 2 6" xfId="8421" xr:uid="{00000000-0005-0000-0000-000066200000}"/>
    <cellStyle name="Input 2 2 2 2 7" xfId="8593" xr:uid="{00000000-0005-0000-0000-000067200000}"/>
    <cellStyle name="Input 2 2 2 2 8" xfId="8659" xr:uid="{00000000-0005-0000-0000-000068200000}"/>
    <cellStyle name="Input 2 2 2 3" xfId="8216" xr:uid="{00000000-0005-0000-0000-000069200000}"/>
    <cellStyle name="Input 2 2 2 3 2" xfId="8542" xr:uid="{00000000-0005-0000-0000-00006A200000}"/>
    <cellStyle name="Input 2 2 2 3 3" xfId="8446" xr:uid="{00000000-0005-0000-0000-00006B200000}"/>
    <cellStyle name="Input 2 2 2 3 4" xfId="8438" xr:uid="{00000000-0005-0000-0000-00006C200000}"/>
    <cellStyle name="Input 2 2 2 3 5" xfId="8632" xr:uid="{00000000-0005-0000-0000-00006D200000}"/>
    <cellStyle name="Input 2 2 2 3 6" xfId="8530" xr:uid="{00000000-0005-0000-0000-00006E200000}"/>
    <cellStyle name="Input 2 2 2 3 7" xfId="8655" xr:uid="{00000000-0005-0000-0000-00006F200000}"/>
    <cellStyle name="Input 2 2 2 3 8" xfId="8559" xr:uid="{00000000-0005-0000-0000-000070200000}"/>
    <cellStyle name="Input 2 2 2 4" xfId="8458" xr:uid="{00000000-0005-0000-0000-000071200000}"/>
    <cellStyle name="Input 2 2 2 5" xfId="8467" xr:uid="{00000000-0005-0000-0000-000072200000}"/>
    <cellStyle name="Input 2 2 2 6" xfId="8433" xr:uid="{00000000-0005-0000-0000-000073200000}"/>
    <cellStyle name="Input 2 2 2 7" xfId="8524" xr:uid="{00000000-0005-0000-0000-000074200000}"/>
    <cellStyle name="Input 2 2 2 8" xfId="8616" xr:uid="{00000000-0005-0000-0000-000075200000}"/>
    <cellStyle name="Input 2 2 2 9" xfId="8555" xr:uid="{00000000-0005-0000-0000-000076200000}"/>
    <cellStyle name="Input 2 2 3" xfId="8550" xr:uid="{00000000-0005-0000-0000-000077200000}"/>
    <cellStyle name="Input 2 2 4" xfId="8389" xr:uid="{00000000-0005-0000-0000-000078200000}"/>
    <cellStyle name="Input 2 2 5" xfId="8525" xr:uid="{00000000-0005-0000-0000-000079200000}"/>
    <cellStyle name="Input 2 2 6" xfId="8487" xr:uid="{00000000-0005-0000-0000-00007A200000}"/>
    <cellStyle name="Input 2 2 7" xfId="8449" xr:uid="{00000000-0005-0000-0000-00007B200000}"/>
    <cellStyle name="Input 2 2 8" xfId="8416" xr:uid="{00000000-0005-0000-0000-00007C200000}"/>
    <cellStyle name="Input 2 2 9" xfId="8419" xr:uid="{00000000-0005-0000-0000-00007D200000}"/>
    <cellStyle name="Input 2 3" xfId="8217" xr:uid="{00000000-0005-0000-0000-00007E200000}"/>
    <cellStyle name="Input 2 3 2" xfId="8218" xr:uid="{00000000-0005-0000-0000-00007F200000}"/>
    <cellStyle name="Input 2 3 2 10" xfId="8395" xr:uid="{00000000-0005-0000-0000-000080200000}"/>
    <cellStyle name="Input 2 3 2 2" xfId="8219" xr:uid="{00000000-0005-0000-0000-000081200000}"/>
    <cellStyle name="Input 2 3 2 2 2" xfId="8549" xr:uid="{00000000-0005-0000-0000-000082200000}"/>
    <cellStyle name="Input 2 3 2 2 3" xfId="8429" xr:uid="{00000000-0005-0000-0000-000083200000}"/>
    <cellStyle name="Input 2 3 2 2 4" xfId="8474" xr:uid="{00000000-0005-0000-0000-000084200000}"/>
    <cellStyle name="Input 2 3 2 2 5" xfId="8480" xr:uid="{00000000-0005-0000-0000-000085200000}"/>
    <cellStyle name="Input 2 3 2 2 6" xfId="8626" xr:uid="{00000000-0005-0000-0000-000086200000}"/>
    <cellStyle name="Input 2 3 2 2 7" xfId="8604" xr:uid="{00000000-0005-0000-0000-000087200000}"/>
    <cellStyle name="Input 2 3 2 2 8" xfId="8439" xr:uid="{00000000-0005-0000-0000-000088200000}"/>
    <cellStyle name="Input 2 3 2 3" xfId="8220" xr:uid="{00000000-0005-0000-0000-000089200000}"/>
    <cellStyle name="Input 2 3 2 3 2" xfId="8441" xr:uid="{00000000-0005-0000-0000-00008A200000}"/>
    <cellStyle name="Input 2 3 2 3 3" xfId="8522" xr:uid="{00000000-0005-0000-0000-00008B200000}"/>
    <cellStyle name="Input 2 3 2 3 4" xfId="8440" xr:uid="{00000000-0005-0000-0000-00008C200000}"/>
    <cellStyle name="Input 2 3 2 3 5" xfId="8518" xr:uid="{00000000-0005-0000-0000-00008D200000}"/>
    <cellStyle name="Input 2 3 2 3 6" xfId="8420" xr:uid="{00000000-0005-0000-0000-00008E200000}"/>
    <cellStyle name="Input 2 3 2 3 7" xfId="8516" xr:uid="{00000000-0005-0000-0000-00008F200000}"/>
    <cellStyle name="Input 2 3 2 3 8" xfId="8650" xr:uid="{00000000-0005-0000-0000-000090200000}"/>
    <cellStyle name="Input 2 3 2 4" xfId="8496" xr:uid="{00000000-0005-0000-0000-000091200000}"/>
    <cellStyle name="Input 2 3 2 5" xfId="8393" xr:uid="{00000000-0005-0000-0000-000092200000}"/>
    <cellStyle name="Input 2 3 2 6" xfId="8459" xr:uid="{00000000-0005-0000-0000-000093200000}"/>
    <cellStyle name="Input 2 3 2 7" xfId="8603" xr:uid="{00000000-0005-0000-0000-000094200000}"/>
    <cellStyle name="Input 2 3 2 8" xfId="8572" xr:uid="{00000000-0005-0000-0000-000095200000}"/>
    <cellStyle name="Input 2 3 2 9" xfId="8465" xr:uid="{00000000-0005-0000-0000-000096200000}"/>
    <cellStyle name="Input 2 3 3" xfId="8504" xr:uid="{00000000-0005-0000-0000-000097200000}"/>
    <cellStyle name="Input 2 3 4" xfId="8577" xr:uid="{00000000-0005-0000-0000-000098200000}"/>
    <cellStyle name="Input 2 3 5" xfId="8444" xr:uid="{00000000-0005-0000-0000-000099200000}"/>
    <cellStyle name="Input 2 3 6" xfId="8396" xr:uid="{00000000-0005-0000-0000-00009A200000}"/>
    <cellStyle name="Input 2 3 7" xfId="8635" xr:uid="{00000000-0005-0000-0000-00009B200000}"/>
    <cellStyle name="Input 2 3 8" xfId="8648" xr:uid="{00000000-0005-0000-0000-00009C200000}"/>
    <cellStyle name="Input 2 3 9" xfId="8621" xr:uid="{00000000-0005-0000-0000-00009D200000}"/>
    <cellStyle name="Input 2 4" xfId="8221" xr:uid="{00000000-0005-0000-0000-00009E200000}"/>
    <cellStyle name="Input 2 4 10" xfId="8614" xr:uid="{00000000-0005-0000-0000-00009F200000}"/>
    <cellStyle name="Input 2 4 2" xfId="8222" xr:uid="{00000000-0005-0000-0000-0000A0200000}"/>
    <cellStyle name="Input 2 4 2 2" xfId="8431" xr:uid="{00000000-0005-0000-0000-0000A1200000}"/>
    <cellStyle name="Input 2 4 2 3" xfId="8584" xr:uid="{00000000-0005-0000-0000-0000A2200000}"/>
    <cellStyle name="Input 2 4 2 4" xfId="8590" xr:uid="{00000000-0005-0000-0000-0000A3200000}"/>
    <cellStyle name="Input 2 4 2 5" xfId="8432" xr:uid="{00000000-0005-0000-0000-0000A4200000}"/>
    <cellStyle name="Input 2 4 2 6" xfId="8644" xr:uid="{00000000-0005-0000-0000-0000A5200000}"/>
    <cellStyle name="Input 2 4 2 7" xfId="8399" xr:uid="{00000000-0005-0000-0000-0000A6200000}"/>
    <cellStyle name="Input 2 4 2 8" xfId="8664" xr:uid="{00000000-0005-0000-0000-0000A7200000}"/>
    <cellStyle name="Input 2 4 3" xfId="8223" xr:uid="{00000000-0005-0000-0000-0000A8200000}"/>
    <cellStyle name="Input 2 4 3 2" xfId="8430" xr:uid="{00000000-0005-0000-0000-0000A9200000}"/>
    <cellStyle name="Input 2 4 3 3" xfId="8411" xr:uid="{00000000-0005-0000-0000-0000AA200000}"/>
    <cellStyle name="Input 2 4 3 4" xfId="8534" xr:uid="{00000000-0005-0000-0000-0000AB200000}"/>
    <cellStyle name="Input 2 4 3 5" xfId="8551" xr:uid="{00000000-0005-0000-0000-0000AC200000}"/>
    <cellStyle name="Input 2 4 3 6" xfId="8391" xr:uid="{00000000-0005-0000-0000-0000AD200000}"/>
    <cellStyle name="Input 2 4 3 7" xfId="8388" xr:uid="{00000000-0005-0000-0000-0000AE200000}"/>
    <cellStyle name="Input 2 4 3 8" xfId="8488" xr:uid="{00000000-0005-0000-0000-0000AF200000}"/>
    <cellStyle name="Input 2 4 4" xfId="8512" xr:uid="{00000000-0005-0000-0000-0000B0200000}"/>
    <cellStyle name="Input 2 4 5" xfId="8562" xr:uid="{00000000-0005-0000-0000-0000B1200000}"/>
    <cellStyle name="Input 2 4 6" xfId="8532" xr:uid="{00000000-0005-0000-0000-0000B2200000}"/>
    <cellStyle name="Input 2 4 7" xfId="8405" xr:uid="{00000000-0005-0000-0000-0000B3200000}"/>
    <cellStyle name="Input 2 4 8" xfId="8470" xr:uid="{00000000-0005-0000-0000-0000B4200000}"/>
    <cellStyle name="Input 2 4 9" xfId="8461" xr:uid="{00000000-0005-0000-0000-0000B5200000}"/>
    <cellStyle name="Input 2 5" xfId="8422" xr:uid="{00000000-0005-0000-0000-0000B6200000}"/>
    <cellStyle name="Input 2 6" xfId="8531" xr:uid="{00000000-0005-0000-0000-0000B7200000}"/>
    <cellStyle name="Input 2 7" xfId="8587" xr:uid="{00000000-0005-0000-0000-0000B8200000}"/>
    <cellStyle name="Input 2 8" xfId="8451" xr:uid="{00000000-0005-0000-0000-0000B9200000}"/>
    <cellStyle name="Input 2 9" xfId="8630" xr:uid="{00000000-0005-0000-0000-0000BA200000}"/>
    <cellStyle name="Input 3" xfId="8224" xr:uid="{00000000-0005-0000-0000-0000BB200000}"/>
    <cellStyle name="InputCells12_BBorder_CRFReport-template" xfId="8225" xr:uid="{00000000-0005-0000-0000-0000BC200000}"/>
    <cellStyle name="Linked Cell 2" xfId="8226" xr:uid="{00000000-0005-0000-0000-0000BD200000}"/>
    <cellStyle name="Linked Cell 3" xfId="8227" xr:uid="{00000000-0005-0000-0000-0000BE200000}"/>
    <cellStyle name="Menu" xfId="8228" xr:uid="{00000000-0005-0000-0000-0000BF200000}"/>
    <cellStyle name="Menu 2" xfId="8229" xr:uid="{00000000-0005-0000-0000-0000C0200000}"/>
    <cellStyle name="Milliers [0]_03tabmat" xfId="8230" xr:uid="{00000000-0005-0000-0000-0000C1200000}"/>
    <cellStyle name="Milliers_03tabmat" xfId="8231" xr:uid="{00000000-0005-0000-0000-0000C2200000}"/>
    <cellStyle name="Monétaire [0]_03tabmat" xfId="8232" xr:uid="{00000000-0005-0000-0000-0000C3200000}"/>
    <cellStyle name="Monétaire_03tabmat" xfId="8233" xr:uid="{00000000-0005-0000-0000-0000C4200000}"/>
    <cellStyle name="Neutral 2" xfId="8234" xr:uid="{00000000-0005-0000-0000-0000C5200000}"/>
    <cellStyle name="Neutral 2 2" xfId="8235" xr:uid="{00000000-0005-0000-0000-0000C6200000}"/>
    <cellStyle name="Neutral 2 2 2" xfId="8236" xr:uid="{00000000-0005-0000-0000-0000C7200000}"/>
    <cellStyle name="Neutral 2 2 3" xfId="8237" xr:uid="{00000000-0005-0000-0000-0000C8200000}"/>
    <cellStyle name="Neutral 2 3" xfId="8238" xr:uid="{00000000-0005-0000-0000-0000C9200000}"/>
    <cellStyle name="Normal" xfId="0" builtinId="0"/>
    <cellStyle name="Normal 10" xfId="8012" xr:uid="{00000000-0005-0000-0000-0000CB200000}"/>
    <cellStyle name="Normal 10 2" xfId="8016" xr:uid="{00000000-0005-0000-0000-0000CC200000}"/>
    <cellStyle name="Normal 10 2 2" xfId="8239" xr:uid="{00000000-0005-0000-0000-0000CD200000}"/>
    <cellStyle name="Normal 10 3" xfId="8240" xr:uid="{00000000-0005-0000-0000-0000CE200000}"/>
    <cellStyle name="Normal 10 3 2" xfId="8241" xr:uid="{00000000-0005-0000-0000-0000CF200000}"/>
    <cellStyle name="Normal 10 4" xfId="8242" xr:uid="{00000000-0005-0000-0000-0000D0200000}"/>
    <cellStyle name="Normal 10 5" xfId="8676" xr:uid="{00000000-0005-0000-0000-0000D1200000}"/>
    <cellStyle name="Normal 11" xfId="8243" xr:uid="{00000000-0005-0000-0000-0000D2200000}"/>
    <cellStyle name="Normal 11 2" xfId="8244" xr:uid="{00000000-0005-0000-0000-0000D3200000}"/>
    <cellStyle name="Normal 11 2 2" xfId="8245" xr:uid="{00000000-0005-0000-0000-0000D4200000}"/>
    <cellStyle name="Normal 11 3" xfId="8246" xr:uid="{00000000-0005-0000-0000-0000D5200000}"/>
    <cellStyle name="Normal 12" xfId="8247" xr:uid="{00000000-0005-0000-0000-0000D6200000}"/>
    <cellStyle name="Normal 12 2" xfId="8248" xr:uid="{00000000-0005-0000-0000-0000D7200000}"/>
    <cellStyle name="Normal 13" xfId="8249" xr:uid="{00000000-0005-0000-0000-0000D8200000}"/>
    <cellStyle name="Normal 13 2" xfId="8250" xr:uid="{00000000-0005-0000-0000-0000D9200000}"/>
    <cellStyle name="Normal 13 2 2" xfId="8687" xr:uid="{A87B1607-0CD1-4E15-97E4-F48C143CE648}"/>
    <cellStyle name="Normal 13 3" xfId="8251" xr:uid="{00000000-0005-0000-0000-0000DA200000}"/>
    <cellStyle name="Normal 13 3 2" xfId="8688" xr:uid="{3AEBEE1F-9B34-4543-B419-E35948495906}"/>
    <cellStyle name="Normal 13 4" xfId="8686" xr:uid="{BFAFC04F-BAB0-4B15-8B5E-0454D8B737E2}"/>
    <cellStyle name="Normal 14" xfId="8252" xr:uid="{00000000-0005-0000-0000-0000DB200000}"/>
    <cellStyle name="Normal 15" xfId="8253" xr:uid="{00000000-0005-0000-0000-0000DC200000}"/>
    <cellStyle name="Normal 15 2" xfId="8254" xr:uid="{00000000-0005-0000-0000-0000DD200000}"/>
    <cellStyle name="Normal 16" xfId="8015" xr:uid="{00000000-0005-0000-0000-0000DE200000}"/>
    <cellStyle name="Normal 17" xfId="8255" xr:uid="{00000000-0005-0000-0000-0000DF200000}"/>
    <cellStyle name="Normal 17 2 2" xfId="8689" xr:uid="{EDD56879-D88F-485F-97BC-06B68BD4D256}"/>
    <cellStyle name="Normal 17 2 2 2" xfId="8690" xr:uid="{4495A0A3-F901-458B-8E3B-E3AF85F8B20E}"/>
    <cellStyle name="Normal 17 2 2 3" xfId="8691" xr:uid="{98E2DCC7-D505-4EB4-96FD-1CC1859849B2}"/>
    <cellStyle name="Normal 18" xfId="8256" xr:uid="{00000000-0005-0000-0000-0000E0200000}"/>
    <cellStyle name="Normal 19" xfId="8668" xr:uid="{00000000-0005-0000-0000-0000E1200000}"/>
    <cellStyle name="Normal 2" xfId="75" xr:uid="{00000000-0005-0000-0000-0000E2200000}"/>
    <cellStyle name="Normal 2 2" xfId="8257" xr:uid="{00000000-0005-0000-0000-0000E3200000}"/>
    <cellStyle name="Normal 2 2 2" xfId="8258" xr:uid="{00000000-0005-0000-0000-0000E4200000}"/>
    <cellStyle name="Normal 2 2 2 2" xfId="8694" xr:uid="{B7E0FAB2-56CF-498F-9006-8D0DD707948D}"/>
    <cellStyle name="Normal 2 2 3" xfId="8693" xr:uid="{7467BEF2-069A-4FEC-9FAC-4E56AB6E9CAE}"/>
    <cellStyle name="Normal 2 3" xfId="8259" xr:uid="{00000000-0005-0000-0000-0000E5200000}"/>
    <cellStyle name="Normal 2 3 2" xfId="8260" xr:uid="{00000000-0005-0000-0000-0000E6200000}"/>
    <cellStyle name="Normal 2 3 3" xfId="8695" xr:uid="{2D3570EA-11AE-4AE4-8FA8-8F449F0DD488}"/>
    <cellStyle name="Normal 2 4" xfId="8261" xr:uid="{00000000-0005-0000-0000-0000E7200000}"/>
    <cellStyle name="Normal 2 5" xfId="8262" xr:uid="{00000000-0005-0000-0000-0000E8200000}"/>
    <cellStyle name="Normal 2 6" xfId="8263" xr:uid="{00000000-0005-0000-0000-0000E9200000}"/>
    <cellStyle name="Normal 2 7" xfId="8692" xr:uid="{CE53C5E8-D112-4FAE-AA68-51AE3FFF9A27}"/>
    <cellStyle name="Normal 20" xfId="8670" xr:uid="{00000000-0005-0000-0000-0000EA200000}"/>
    <cellStyle name="Normal 21" xfId="8677" xr:uid="{177951E7-A226-446D-86F4-576660E3DB07}"/>
    <cellStyle name="Normal 22" xfId="8705" xr:uid="{1837C918-D9B7-4761-AABD-31E9FAE6BA9B}"/>
    <cellStyle name="Normal 3" xfId="299" xr:uid="{00000000-0005-0000-0000-0000EB200000}"/>
    <cellStyle name="Normal 3 2" xfId="8264" xr:uid="{00000000-0005-0000-0000-0000EC200000}"/>
    <cellStyle name="Normal 3 2 2" xfId="8697" xr:uid="{3C059AC8-DDA3-4AF3-ADBC-2B7E54BECEDB}"/>
    <cellStyle name="Normal 3 3" xfId="8265" xr:uid="{00000000-0005-0000-0000-0000ED200000}"/>
    <cellStyle name="Normal 3 4" xfId="8266" xr:uid="{00000000-0005-0000-0000-0000EE200000}"/>
    <cellStyle name="Normal 3 5" xfId="8267" xr:uid="{00000000-0005-0000-0000-0000EF200000}"/>
    <cellStyle name="Normal 3 6" xfId="8696" xr:uid="{77AA1078-548B-4714-857D-74BEBDAEA5F3}"/>
    <cellStyle name="Normal 3_Operational Building V5 PP" xfId="8268" xr:uid="{00000000-0005-0000-0000-0000F0200000}"/>
    <cellStyle name="Normal 4" xfId="896" xr:uid="{00000000-0005-0000-0000-0000F1200000}"/>
    <cellStyle name="Normal 4 2" xfId="8269" xr:uid="{00000000-0005-0000-0000-0000F2200000}"/>
    <cellStyle name="Normal 4 2 2" xfId="8270" xr:uid="{00000000-0005-0000-0000-0000F3200000}"/>
    <cellStyle name="Normal 4 3" xfId="8271" xr:uid="{00000000-0005-0000-0000-0000F4200000}"/>
    <cellStyle name="Normal 4 3 2" xfId="8272" xr:uid="{00000000-0005-0000-0000-0000F5200000}"/>
    <cellStyle name="Normal 4 4" xfId="8273" xr:uid="{00000000-0005-0000-0000-0000F6200000}"/>
    <cellStyle name="Normal 4 5" xfId="8274" xr:uid="{00000000-0005-0000-0000-0000F7200000}"/>
    <cellStyle name="Normal 4 6" xfId="8520" xr:uid="{00000000-0005-0000-0000-0000F8200000}"/>
    <cellStyle name="Normal 4 7" xfId="8698" xr:uid="{F2FCD142-A3A7-4C09-A23B-647D48AE4329}"/>
    <cellStyle name="Normal 5" xfId="895" xr:uid="{00000000-0005-0000-0000-0000F9200000}"/>
    <cellStyle name="Normal 5 2" xfId="8008" xr:uid="{00000000-0005-0000-0000-0000FA200000}"/>
    <cellStyle name="Normal 5 2 2" xfId="8275" xr:uid="{00000000-0005-0000-0000-0000FB200000}"/>
    <cellStyle name="Normal 5 3" xfId="8276" xr:uid="{00000000-0005-0000-0000-0000FC200000}"/>
    <cellStyle name="Normal 5 4" xfId="8277" xr:uid="{00000000-0005-0000-0000-0000FD200000}"/>
    <cellStyle name="Normal 5 5" xfId="8699" xr:uid="{9B0B08E6-BE2E-4E9D-82C3-83CF356EF77D}"/>
    <cellStyle name="Normal 6" xfId="8005" xr:uid="{00000000-0005-0000-0000-0000FE200000}"/>
    <cellStyle name="Normal 6 2" xfId="8278" xr:uid="{00000000-0005-0000-0000-0000FF200000}"/>
    <cellStyle name="Normal 6 3" xfId="8279" xr:uid="{00000000-0005-0000-0000-000000210000}"/>
    <cellStyle name="Normal 6 4" xfId="8700" xr:uid="{EBBB6A54-3C5D-4BF3-A9F7-3A5370A66988}"/>
    <cellStyle name="Normal 7" xfId="8002" xr:uid="{00000000-0005-0000-0000-000001210000}"/>
    <cellStyle name="Normal 7 2" xfId="8280" xr:uid="{00000000-0005-0000-0000-000002210000}"/>
    <cellStyle name="Normal 7 3" xfId="8281" xr:uid="{00000000-0005-0000-0000-000003210000}"/>
    <cellStyle name="Normal 8" xfId="8009" xr:uid="{00000000-0005-0000-0000-000004210000}"/>
    <cellStyle name="Normal 8 2" xfId="8282" xr:uid="{00000000-0005-0000-0000-000005210000}"/>
    <cellStyle name="Normal 8 3" xfId="8283" xr:uid="{00000000-0005-0000-0000-000006210000}"/>
    <cellStyle name="Normal 9" xfId="8011" xr:uid="{00000000-0005-0000-0000-000007210000}"/>
    <cellStyle name="Normal 9 2" xfId="8284" xr:uid="{00000000-0005-0000-0000-000008210000}"/>
    <cellStyle name="Normal 9 3" xfId="8285" xr:uid="{00000000-0005-0000-0000-000009210000}"/>
    <cellStyle name="Normal 9 4" xfId="8286" xr:uid="{00000000-0005-0000-0000-00000A210000}"/>
    <cellStyle name="Normal GHG Textfiels Bold" xfId="8701" xr:uid="{BA904B81-A64D-464B-BC52-068C7B1698E5}"/>
    <cellStyle name="Normal GHG-Shade" xfId="8287" xr:uid="{00000000-0005-0000-0000-00000B210000}"/>
    <cellStyle name="Note 2" xfId="8288" xr:uid="{00000000-0005-0000-0000-00000D210000}"/>
    <cellStyle name="Note 2 10" xfId="8507" xr:uid="{00000000-0005-0000-0000-00000E210000}"/>
    <cellStyle name="Note 2 2" xfId="8289" xr:uid="{00000000-0005-0000-0000-00000F210000}"/>
    <cellStyle name="Note 2 2 2" xfId="8290" xr:uid="{00000000-0005-0000-0000-000010210000}"/>
    <cellStyle name="Note 2 2 2 10" xfId="8628" xr:uid="{00000000-0005-0000-0000-000011210000}"/>
    <cellStyle name="Note 2 2 2 2" xfId="8291" xr:uid="{00000000-0005-0000-0000-000012210000}"/>
    <cellStyle name="Note 2 2 2 2 2" xfId="8477" xr:uid="{00000000-0005-0000-0000-000013210000}"/>
    <cellStyle name="Note 2 2 2 2 3" xfId="8481" xr:uid="{00000000-0005-0000-0000-000014210000}"/>
    <cellStyle name="Note 2 2 2 2 4" xfId="8601" xr:uid="{00000000-0005-0000-0000-000015210000}"/>
    <cellStyle name="Note 2 2 2 2 5" xfId="8538" xr:uid="{00000000-0005-0000-0000-000016210000}"/>
    <cellStyle name="Note 2 2 2 2 6" xfId="8471" xr:uid="{00000000-0005-0000-0000-000017210000}"/>
    <cellStyle name="Note 2 2 2 2 7" xfId="8651" xr:uid="{00000000-0005-0000-0000-000018210000}"/>
    <cellStyle name="Note 2 2 2 2 8" xfId="8491" xr:uid="{00000000-0005-0000-0000-000019210000}"/>
    <cellStyle name="Note 2 2 2 3" xfId="8292" xr:uid="{00000000-0005-0000-0000-00001A210000}"/>
    <cellStyle name="Note 2 2 2 3 2" xfId="8523" xr:uid="{00000000-0005-0000-0000-00001B210000}"/>
    <cellStyle name="Note 2 2 2 3 3" xfId="8448" xr:uid="{00000000-0005-0000-0000-00001C210000}"/>
    <cellStyle name="Note 2 2 2 3 4" xfId="8547" xr:uid="{00000000-0005-0000-0000-00001D210000}"/>
    <cellStyle name="Note 2 2 2 3 5" xfId="8435" xr:uid="{00000000-0005-0000-0000-00001E210000}"/>
    <cellStyle name="Note 2 2 2 3 6" xfId="8394" xr:uid="{00000000-0005-0000-0000-00001F210000}"/>
    <cellStyle name="Note 2 2 2 3 7" xfId="8639" xr:uid="{00000000-0005-0000-0000-000020210000}"/>
    <cellStyle name="Note 2 2 2 3 8" xfId="8666" xr:uid="{00000000-0005-0000-0000-000021210000}"/>
    <cellStyle name="Note 2 2 2 4" xfId="8485" xr:uid="{00000000-0005-0000-0000-000022210000}"/>
    <cellStyle name="Note 2 2 2 5" xfId="8400" xr:uid="{00000000-0005-0000-0000-000023210000}"/>
    <cellStyle name="Note 2 2 2 6" xfId="8582" xr:uid="{00000000-0005-0000-0000-000024210000}"/>
    <cellStyle name="Note 2 2 2 7" xfId="8642" xr:uid="{00000000-0005-0000-0000-000025210000}"/>
    <cellStyle name="Note 2 2 2 8" xfId="8410" xr:uid="{00000000-0005-0000-0000-000026210000}"/>
    <cellStyle name="Note 2 2 2 9" xfId="8509" xr:uid="{00000000-0005-0000-0000-000027210000}"/>
    <cellStyle name="Note 2 2 3" xfId="8583" xr:uid="{00000000-0005-0000-0000-000028210000}"/>
    <cellStyle name="Note 2 2 4" xfId="8589" xr:uid="{00000000-0005-0000-0000-000029210000}"/>
    <cellStyle name="Note 2 2 5" xfId="8612" xr:uid="{00000000-0005-0000-0000-00002A210000}"/>
    <cellStyle name="Note 2 2 6" xfId="8436" xr:uid="{00000000-0005-0000-0000-00002B210000}"/>
    <cellStyle name="Note 2 2 7" xfId="8403" xr:uid="{00000000-0005-0000-0000-00002C210000}"/>
    <cellStyle name="Note 2 2 8" xfId="8658" xr:uid="{00000000-0005-0000-0000-00002D210000}"/>
    <cellStyle name="Note 2 2 9" xfId="8600" xr:uid="{00000000-0005-0000-0000-00002E210000}"/>
    <cellStyle name="Note 2 3" xfId="8293" xr:uid="{00000000-0005-0000-0000-00002F210000}"/>
    <cellStyle name="Note 2 3 10" xfId="8622" xr:uid="{00000000-0005-0000-0000-000030210000}"/>
    <cellStyle name="Note 2 3 2" xfId="8294" xr:uid="{00000000-0005-0000-0000-000031210000}"/>
    <cellStyle name="Note 2 3 2 2" xfId="8476" xr:uid="{00000000-0005-0000-0000-000032210000}"/>
    <cellStyle name="Note 2 3 2 3" xfId="8475" xr:uid="{00000000-0005-0000-0000-000033210000}"/>
    <cellStyle name="Note 2 3 2 4" xfId="8495" xr:uid="{00000000-0005-0000-0000-000034210000}"/>
    <cellStyle name="Note 2 3 2 5" xfId="8624" xr:uid="{00000000-0005-0000-0000-000035210000}"/>
    <cellStyle name="Note 2 3 2 6" xfId="8570" xr:uid="{00000000-0005-0000-0000-000036210000}"/>
    <cellStyle name="Note 2 3 2 7" xfId="8647" xr:uid="{00000000-0005-0000-0000-000037210000}"/>
    <cellStyle name="Note 2 3 2 8" xfId="8665" xr:uid="{00000000-0005-0000-0000-000038210000}"/>
    <cellStyle name="Note 2 3 3" xfId="8295" xr:uid="{00000000-0005-0000-0000-000039210000}"/>
    <cellStyle name="Note 2 3 3 2" xfId="8426" xr:uid="{00000000-0005-0000-0000-00003A210000}"/>
    <cellStyle name="Note 2 3 3 3" xfId="8543" xr:uid="{00000000-0005-0000-0000-00003B210000}"/>
    <cellStyle name="Note 2 3 3 4" xfId="8486" xr:uid="{00000000-0005-0000-0000-00003C210000}"/>
    <cellStyle name="Note 2 3 3 5" xfId="8479" xr:uid="{00000000-0005-0000-0000-00003D210000}"/>
    <cellStyle name="Note 2 3 3 6" xfId="8636" xr:uid="{00000000-0005-0000-0000-00003E210000}"/>
    <cellStyle name="Note 2 3 3 7" xfId="8382" xr:uid="{00000000-0005-0000-0000-00003F210000}"/>
    <cellStyle name="Note 2 3 3 8" xfId="8482" xr:uid="{00000000-0005-0000-0000-000040210000}"/>
    <cellStyle name="Note 2 3 4" xfId="8498" xr:uid="{00000000-0005-0000-0000-000041210000}"/>
    <cellStyle name="Note 2 3 5" xfId="8376" xr:uid="{00000000-0005-0000-0000-000042210000}"/>
    <cellStyle name="Note 2 3 6" xfId="8379" xr:uid="{00000000-0005-0000-0000-000043210000}"/>
    <cellStyle name="Note 2 3 7" xfId="8618" xr:uid="{00000000-0005-0000-0000-000044210000}"/>
    <cellStyle name="Note 2 3 8" xfId="8390" xr:uid="{00000000-0005-0000-0000-000045210000}"/>
    <cellStyle name="Note 2 3 9" xfId="8384" xr:uid="{00000000-0005-0000-0000-000046210000}"/>
    <cellStyle name="Note 2 4" xfId="8473" xr:uid="{00000000-0005-0000-0000-000047210000}"/>
    <cellStyle name="Note 2 5" xfId="8565" xr:uid="{00000000-0005-0000-0000-000048210000}"/>
    <cellStyle name="Note 2 6" xfId="8558" xr:uid="{00000000-0005-0000-0000-000049210000}"/>
    <cellStyle name="Note 2 7" xfId="8463" xr:uid="{00000000-0005-0000-0000-00004A210000}"/>
    <cellStyle name="Note 2 8" xfId="8527" xr:uid="{00000000-0005-0000-0000-00004B210000}"/>
    <cellStyle name="Note 2 9" xfId="8564" xr:uid="{00000000-0005-0000-0000-00004C210000}"/>
    <cellStyle name="Note 3" xfId="8296" xr:uid="{00000000-0005-0000-0000-00004D210000}"/>
    <cellStyle name="Output 2" xfId="8297" xr:uid="{00000000-0005-0000-0000-00004E210000}"/>
    <cellStyle name="Output 2 2" xfId="8298" xr:uid="{00000000-0005-0000-0000-00004F210000}"/>
    <cellStyle name="Output 2 2 2" xfId="8299" xr:uid="{00000000-0005-0000-0000-000050210000}"/>
    <cellStyle name="Output 2 2 2 2" xfId="8300" xr:uid="{00000000-0005-0000-0000-000051210000}"/>
    <cellStyle name="Output 2 2 2 2 2" xfId="8554" xr:uid="{00000000-0005-0000-0000-000052210000}"/>
    <cellStyle name="Output 2 2 2 2 3" xfId="8497" xr:uid="{00000000-0005-0000-0000-000053210000}"/>
    <cellStyle name="Output 2 2 2 2 4" xfId="8447" xr:uid="{00000000-0005-0000-0000-000054210000}"/>
    <cellStyle name="Output 2 2 2 2 5" xfId="8627" xr:uid="{00000000-0005-0000-0000-000055210000}"/>
    <cellStyle name="Output 2 2 2 2 6" xfId="8423" xr:uid="{00000000-0005-0000-0000-000056210000}"/>
    <cellStyle name="Output 2 2 2 2 7" xfId="8631" xr:uid="{00000000-0005-0000-0000-000057210000}"/>
    <cellStyle name="Output 2 2 2 3" xfId="8301" xr:uid="{00000000-0005-0000-0000-000058210000}"/>
    <cellStyle name="Output 2 2 2 3 2" xfId="8456" xr:uid="{00000000-0005-0000-0000-000059210000}"/>
    <cellStyle name="Output 2 2 2 3 3" xfId="8408" xr:uid="{00000000-0005-0000-0000-00005A210000}"/>
    <cellStyle name="Output 2 2 2 3 4" xfId="8561" xr:uid="{00000000-0005-0000-0000-00005B210000}"/>
    <cellStyle name="Output 2 2 2 3 5" xfId="8494" xr:uid="{00000000-0005-0000-0000-00005C210000}"/>
    <cellStyle name="Output 2 2 2 3 6" xfId="8552" xr:uid="{00000000-0005-0000-0000-00005D210000}"/>
    <cellStyle name="Output 2 2 2 3 7" xfId="8640" xr:uid="{00000000-0005-0000-0000-00005E210000}"/>
    <cellStyle name="Output 2 2 2 4" xfId="8579" xr:uid="{00000000-0005-0000-0000-00005F210000}"/>
    <cellStyle name="Output 2 2 2 5" xfId="8417" xr:uid="{00000000-0005-0000-0000-000060210000}"/>
    <cellStyle name="Output 2 2 2 6" xfId="8609" xr:uid="{00000000-0005-0000-0000-000061210000}"/>
    <cellStyle name="Output 2 2 2 7" xfId="8380" xr:uid="{00000000-0005-0000-0000-000062210000}"/>
    <cellStyle name="Output 2 2 2 8" xfId="8633" xr:uid="{00000000-0005-0000-0000-000063210000}"/>
    <cellStyle name="Output 2 2 2 9" xfId="8566" xr:uid="{00000000-0005-0000-0000-000064210000}"/>
    <cellStyle name="Output 2 2 3" xfId="8539" xr:uid="{00000000-0005-0000-0000-000065210000}"/>
    <cellStyle name="Output 2 2 4" xfId="8462" xr:uid="{00000000-0005-0000-0000-000066210000}"/>
    <cellStyle name="Output 2 2 5" xfId="8563" xr:uid="{00000000-0005-0000-0000-000067210000}"/>
    <cellStyle name="Output 2 2 6" xfId="8620" xr:uid="{00000000-0005-0000-0000-000068210000}"/>
    <cellStyle name="Output 2 2 7" xfId="8619" xr:uid="{00000000-0005-0000-0000-000069210000}"/>
    <cellStyle name="Output 2 2 8" xfId="8535" xr:uid="{00000000-0005-0000-0000-00006A210000}"/>
    <cellStyle name="Output 2 3" xfId="8302" xr:uid="{00000000-0005-0000-0000-00006B210000}"/>
    <cellStyle name="Output 2 3 2" xfId="8303" xr:uid="{00000000-0005-0000-0000-00006C210000}"/>
    <cellStyle name="Output 2 3 2 2" xfId="8414" xr:uid="{00000000-0005-0000-0000-00006D210000}"/>
    <cellStyle name="Output 2 3 2 3" xfId="8588" xr:uid="{00000000-0005-0000-0000-00006E210000}"/>
    <cellStyle name="Output 2 3 2 4" xfId="8611" xr:uid="{00000000-0005-0000-0000-00006F210000}"/>
    <cellStyle name="Output 2 3 2 5" xfId="8623" xr:uid="{00000000-0005-0000-0000-000070210000}"/>
    <cellStyle name="Output 2 3 2 6" xfId="8478" xr:uid="{00000000-0005-0000-0000-000071210000}"/>
    <cellStyle name="Output 2 3 2 7" xfId="8568" xr:uid="{00000000-0005-0000-0000-000072210000}"/>
    <cellStyle name="Output 2 3 3" xfId="8304" xr:uid="{00000000-0005-0000-0000-000073210000}"/>
    <cellStyle name="Output 2 3 3 2" xfId="8500" xr:uid="{00000000-0005-0000-0000-000074210000}"/>
    <cellStyle name="Output 2 3 3 3" xfId="8505" xr:uid="{00000000-0005-0000-0000-000075210000}"/>
    <cellStyle name="Output 2 3 3 4" xfId="8515" xr:uid="{00000000-0005-0000-0000-000076210000}"/>
    <cellStyle name="Output 2 3 3 5" xfId="8514" xr:uid="{00000000-0005-0000-0000-000077210000}"/>
    <cellStyle name="Output 2 3 3 6" xfId="8643" xr:uid="{00000000-0005-0000-0000-000078210000}"/>
    <cellStyle name="Output 2 3 3 7" xfId="8663" xr:uid="{00000000-0005-0000-0000-000079210000}"/>
    <cellStyle name="Output 2 3 4" xfId="8401" xr:uid="{00000000-0005-0000-0000-00007A210000}"/>
    <cellStyle name="Output 2 3 5" xfId="8387" xr:uid="{00000000-0005-0000-0000-00007B210000}"/>
    <cellStyle name="Output 2 3 6" xfId="8511" xr:uid="{00000000-0005-0000-0000-00007C210000}"/>
    <cellStyle name="Output 2 3 7" xfId="8560" xr:uid="{00000000-0005-0000-0000-00007D210000}"/>
    <cellStyle name="Output 2 3 8" xfId="8536" xr:uid="{00000000-0005-0000-0000-00007E210000}"/>
    <cellStyle name="Output 2 3 9" xfId="8526" xr:uid="{00000000-0005-0000-0000-00007F210000}"/>
    <cellStyle name="Output 2 4" xfId="8413" xr:uid="{00000000-0005-0000-0000-000080210000}"/>
    <cellStyle name="Output 2 5" xfId="8404" xr:uid="{00000000-0005-0000-0000-000081210000}"/>
    <cellStyle name="Output 2 6" xfId="8489" xr:uid="{00000000-0005-0000-0000-000082210000}"/>
    <cellStyle name="Output 2 7" xfId="8402" xr:uid="{00000000-0005-0000-0000-000083210000}"/>
    <cellStyle name="Output 2 8" xfId="8556" xr:uid="{00000000-0005-0000-0000-000084210000}"/>
    <cellStyle name="Output 2 9" xfId="8378" xr:uid="{00000000-0005-0000-0000-000085210000}"/>
    <cellStyle name="Output 3" xfId="8305" xr:uid="{00000000-0005-0000-0000-000086210000}"/>
    <cellStyle name="Percent" xfId="301" builtinId="5"/>
    <cellStyle name="Percent 10" xfId="8306" xr:uid="{00000000-0005-0000-0000-000088210000}"/>
    <cellStyle name="Percent 10 2" xfId="8307" xr:uid="{00000000-0005-0000-0000-000089210000}"/>
    <cellStyle name="Percent 10 3" xfId="8308" xr:uid="{00000000-0005-0000-0000-00008A210000}"/>
    <cellStyle name="Percent 11" xfId="8309" xr:uid="{00000000-0005-0000-0000-00008B210000}"/>
    <cellStyle name="Percent 12" xfId="8310" xr:uid="{00000000-0005-0000-0000-00008C210000}"/>
    <cellStyle name="Percent 12 2" xfId="8311" xr:uid="{00000000-0005-0000-0000-00008D210000}"/>
    <cellStyle name="Percent 13" xfId="8312" xr:uid="{00000000-0005-0000-0000-00008E210000}"/>
    <cellStyle name="Percent 14" xfId="8672" xr:uid="{00000000-0005-0000-0000-00008F210000}"/>
    <cellStyle name="Percent 15" xfId="8679" xr:uid="{CA894AFA-2B9F-4791-9DDC-CE51BC48CCC6}"/>
    <cellStyle name="Percent 2" xfId="76" xr:uid="{00000000-0005-0000-0000-000090210000}"/>
    <cellStyle name="Percent 2 2" xfId="8313" xr:uid="{00000000-0005-0000-0000-000091210000}"/>
    <cellStyle name="Percent 2 3" xfId="8314" xr:uid="{00000000-0005-0000-0000-000092210000}"/>
    <cellStyle name="Percent 2 3 2" xfId="8315" xr:uid="{00000000-0005-0000-0000-000093210000}"/>
    <cellStyle name="Percent 2 4" xfId="8316" xr:uid="{00000000-0005-0000-0000-000094210000}"/>
    <cellStyle name="Percent 2 5" xfId="8317" xr:uid="{00000000-0005-0000-0000-000095210000}"/>
    <cellStyle name="Percent 2 6" xfId="8318" xr:uid="{00000000-0005-0000-0000-000096210000}"/>
    <cellStyle name="Percent 2 7" xfId="8673" xr:uid="{00000000-0005-0000-0000-000097210000}"/>
    <cellStyle name="Percent 3" xfId="1195" xr:uid="{00000000-0005-0000-0000-000098210000}"/>
    <cellStyle name="Percent 3 2" xfId="8319" xr:uid="{00000000-0005-0000-0000-000099210000}"/>
    <cellStyle name="Percent 3 3" xfId="8320" xr:uid="{00000000-0005-0000-0000-00009A210000}"/>
    <cellStyle name="Percent 3 4" xfId="8415" xr:uid="{00000000-0005-0000-0000-00009B210000}"/>
    <cellStyle name="Percent 4" xfId="8007" xr:uid="{00000000-0005-0000-0000-00009C210000}"/>
    <cellStyle name="Percent 4 2" xfId="8321" xr:uid="{00000000-0005-0000-0000-00009D210000}"/>
    <cellStyle name="Percent 4 3" xfId="8322" xr:uid="{00000000-0005-0000-0000-00009E210000}"/>
    <cellStyle name="Percent 4 4" xfId="8452" xr:uid="{00000000-0005-0000-0000-00009F210000}"/>
    <cellStyle name="Percent 5" xfId="8004" xr:uid="{00000000-0005-0000-0000-0000A0210000}"/>
    <cellStyle name="Percent 5 2" xfId="8323" xr:uid="{00000000-0005-0000-0000-0000A1210000}"/>
    <cellStyle name="Percent 5 3" xfId="8324" xr:uid="{00000000-0005-0000-0000-0000A2210000}"/>
    <cellStyle name="Percent 6" xfId="8013" xr:uid="{00000000-0005-0000-0000-0000A3210000}"/>
    <cellStyle name="Percent 6 2" xfId="8325" xr:uid="{00000000-0005-0000-0000-0000A4210000}"/>
    <cellStyle name="Percent 6 3" xfId="8326" xr:uid="{00000000-0005-0000-0000-0000A5210000}"/>
    <cellStyle name="Percent 6 4" xfId="8381" xr:uid="{00000000-0005-0000-0000-0000A6210000}"/>
    <cellStyle name="Percent 7" xfId="8327" xr:uid="{00000000-0005-0000-0000-0000A7210000}"/>
    <cellStyle name="Percent 8" xfId="8328" xr:uid="{00000000-0005-0000-0000-0000A8210000}"/>
    <cellStyle name="Percent 8 2" xfId="8329" xr:uid="{00000000-0005-0000-0000-0000A9210000}"/>
    <cellStyle name="Percent 9" xfId="8330" xr:uid="{00000000-0005-0000-0000-0000AA210000}"/>
    <cellStyle name="Publication_style" xfId="8331" xr:uid="{00000000-0005-0000-0000-0000AB210000}"/>
    <cellStyle name="Refdb standard" xfId="8332" xr:uid="{00000000-0005-0000-0000-0000AC210000}"/>
    <cellStyle name="Refdb standard 2" xfId="8333" xr:uid="{00000000-0005-0000-0000-0000AD210000}"/>
    <cellStyle name="Shade" xfId="8334" xr:uid="{00000000-0005-0000-0000-0000AE210000}"/>
    <cellStyle name="Shade 2" xfId="8335" xr:uid="{00000000-0005-0000-0000-0000AF210000}"/>
    <cellStyle name="Shade 3" xfId="8336" xr:uid="{00000000-0005-0000-0000-0000B0210000}"/>
    <cellStyle name="Source" xfId="8337" xr:uid="{00000000-0005-0000-0000-0000B1210000}"/>
    <cellStyle name="Source Hed" xfId="8338" xr:uid="{00000000-0005-0000-0000-0000B2210000}"/>
    <cellStyle name="Source Text" xfId="8339" xr:uid="{00000000-0005-0000-0000-0000B3210000}"/>
    <cellStyle name="Standard_E00seit45" xfId="8340" xr:uid="{00000000-0005-0000-0000-0000B4210000}"/>
    <cellStyle name="Style 21" xfId="8341" xr:uid="{00000000-0005-0000-0000-0000B5210000}"/>
    <cellStyle name="Style 21 2" xfId="8342" xr:uid="{00000000-0005-0000-0000-0000B6210000}"/>
    <cellStyle name="Style 22" xfId="8343" xr:uid="{00000000-0005-0000-0000-0000B7210000}"/>
    <cellStyle name="Style 22 2" xfId="8344" xr:uid="{00000000-0005-0000-0000-0000B8210000}"/>
    <cellStyle name="Style 23" xfId="8345" xr:uid="{00000000-0005-0000-0000-0000B9210000}"/>
    <cellStyle name="Style 23 2" xfId="8346" xr:uid="{00000000-0005-0000-0000-0000BA210000}"/>
    <cellStyle name="Style 24" xfId="8347" xr:uid="{00000000-0005-0000-0000-0000BB210000}"/>
    <cellStyle name="Style 24 2" xfId="8348" xr:uid="{00000000-0005-0000-0000-0000BC210000}"/>
    <cellStyle name="Style 29" xfId="8349" xr:uid="{00000000-0005-0000-0000-0000BD210000}"/>
    <cellStyle name="Style 29 2" xfId="8350" xr:uid="{00000000-0005-0000-0000-0000BE210000}"/>
    <cellStyle name="Style 30" xfId="8351" xr:uid="{00000000-0005-0000-0000-0000BF210000}"/>
    <cellStyle name="Style 30 2" xfId="8352" xr:uid="{00000000-0005-0000-0000-0000C0210000}"/>
    <cellStyle name="Style 31" xfId="8353" xr:uid="{00000000-0005-0000-0000-0000C1210000}"/>
    <cellStyle name="Style 31 2" xfId="8354" xr:uid="{00000000-0005-0000-0000-0000C2210000}"/>
    <cellStyle name="Style 32" xfId="8355" xr:uid="{00000000-0005-0000-0000-0000C3210000}"/>
    <cellStyle name="Style 32 2" xfId="8356" xr:uid="{00000000-0005-0000-0000-0000C4210000}"/>
    <cellStyle name="Title 2" xfId="8357" xr:uid="{00000000-0005-0000-0000-0000C5210000}"/>
    <cellStyle name="Title-1" xfId="8358" xr:uid="{00000000-0005-0000-0000-0000C6210000}"/>
    <cellStyle name="Title-2" xfId="8359" xr:uid="{00000000-0005-0000-0000-0000C7210000}"/>
    <cellStyle name="Titre ligne" xfId="8360" xr:uid="{00000000-0005-0000-0000-0000C8210000}"/>
    <cellStyle name="Total 2" xfId="8361" xr:uid="{00000000-0005-0000-0000-0000C9210000}"/>
    <cellStyle name="Total 2 2" xfId="8362" xr:uid="{00000000-0005-0000-0000-0000CA210000}"/>
    <cellStyle name="Total 2 2 2" xfId="8383" xr:uid="{00000000-0005-0000-0000-0000CB210000}"/>
    <cellStyle name="Total 2 2 3" xfId="8443" xr:uid="{00000000-0005-0000-0000-0000CC210000}"/>
    <cellStyle name="Total 2 2 4" xfId="8546" xr:uid="{00000000-0005-0000-0000-0000CD210000}"/>
    <cellStyle name="Total 2 2 5" xfId="8615" xr:uid="{00000000-0005-0000-0000-0000CE210000}"/>
    <cellStyle name="Total 2 2 6" xfId="8407" xr:uid="{00000000-0005-0000-0000-0000CF210000}"/>
    <cellStyle name="Total 2 2 7" xfId="8641" xr:uid="{00000000-0005-0000-0000-0000D0210000}"/>
    <cellStyle name="Total 2 2 8" xfId="8646" xr:uid="{00000000-0005-0000-0000-0000D1210000}"/>
    <cellStyle name="Total 2 3" xfId="8363" xr:uid="{00000000-0005-0000-0000-0000D2210000}"/>
    <cellStyle name="Total 2 3 2" xfId="8585" xr:uid="{00000000-0005-0000-0000-0000D3210000}"/>
    <cellStyle name="Total 2 3 3" xfId="8591" xr:uid="{00000000-0005-0000-0000-0000D4210000}"/>
    <cellStyle name="Total 2 3 4" xfId="8613" xr:uid="{00000000-0005-0000-0000-0000D5210000}"/>
    <cellStyle name="Total 2 3 5" xfId="8617" xr:uid="{00000000-0005-0000-0000-0000D6210000}"/>
    <cellStyle name="Total 2 3 6" xfId="8605" xr:uid="{00000000-0005-0000-0000-0000D7210000}"/>
    <cellStyle name="Total 2 3 7" xfId="8652" xr:uid="{00000000-0005-0000-0000-0000D8210000}"/>
    <cellStyle name="Total 2 3 8" xfId="8654" xr:uid="{00000000-0005-0000-0000-0000D9210000}"/>
    <cellStyle name="Total 2 3 9" xfId="8667" xr:uid="{00000000-0005-0000-0000-0000DA210000}"/>
    <cellStyle name="Total 3" xfId="8364" xr:uid="{00000000-0005-0000-0000-0000DB210000}"/>
    <cellStyle name="Total intermediaire" xfId="8365" xr:uid="{00000000-0005-0000-0000-0000DC210000}"/>
    <cellStyle name="Tusenskille [0]_rob4-mon.xls Diagram 1" xfId="8366" xr:uid="{00000000-0005-0000-0000-0000DD210000}"/>
    <cellStyle name="Tusenskille_rob4-mon.xls Diagram 1" xfId="8367" xr:uid="{00000000-0005-0000-0000-0000DE210000}"/>
    <cellStyle name="User Input" xfId="8702" xr:uid="{F1C40E97-CC8D-42E4-8233-8CC31E924EC8}"/>
    <cellStyle name="User Input 2" xfId="8703" xr:uid="{873BAE44-62DE-4223-9F41-51257D4246CF}"/>
    <cellStyle name="User Input 3" xfId="8704" xr:uid="{DCD5C427-650F-4457-AAB2-45433D4B62C7}"/>
    <cellStyle name="Valuta [0]_rob4-mon.xls Diagram 1" xfId="8368" xr:uid="{00000000-0005-0000-0000-0000DF210000}"/>
    <cellStyle name="Valuta_rob4-mon.xls Diagram 1" xfId="8369" xr:uid="{00000000-0005-0000-0000-0000E0210000}"/>
    <cellStyle name="Währung [0]_Excel2" xfId="8370" xr:uid="{00000000-0005-0000-0000-0000E1210000}"/>
    <cellStyle name="Währung_Excel2" xfId="8371" xr:uid="{00000000-0005-0000-0000-0000E2210000}"/>
    <cellStyle name="Warning Text 2" xfId="8372" xr:uid="{00000000-0005-0000-0000-0000E3210000}"/>
    <cellStyle name="Warning Text 3" xfId="8373" xr:uid="{00000000-0005-0000-0000-0000E4210000}"/>
    <cellStyle name="Year" xfId="8374" xr:uid="{00000000-0005-0000-0000-0000E5210000}"/>
    <cellStyle name="Обычный_2++_CRFReport-template" xfId="8375" xr:uid="{00000000-0005-0000-0000-0000E6210000}"/>
  </cellStyles>
  <dxfs count="346">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C00000"/>
      </font>
    </dxf>
    <dxf>
      <font>
        <color rgb="FF9C0006"/>
      </font>
    </dxf>
    <dxf>
      <font>
        <color rgb="FFC00000"/>
      </font>
    </dxf>
    <dxf>
      <font>
        <color rgb="FF9C0006"/>
      </font>
    </dxf>
    <dxf>
      <font>
        <color rgb="FF9C0006"/>
      </font>
    </dxf>
    <dxf>
      <font>
        <color rgb="FFC00000"/>
      </font>
    </dxf>
    <dxf>
      <font>
        <color rgb="FFC00000"/>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9C0006"/>
      </font>
    </dxf>
    <dxf>
      <font>
        <color rgb="FFC00000"/>
      </font>
    </dxf>
    <dxf>
      <font>
        <color rgb="FF9C0006"/>
      </font>
    </dxf>
    <dxf>
      <font>
        <color rgb="FF9C0006"/>
      </font>
    </dxf>
    <dxf>
      <font>
        <color rgb="FF9C0006"/>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C00000"/>
      </font>
    </dxf>
    <dxf>
      <font>
        <color rgb="FF9C0006"/>
      </font>
    </dxf>
    <dxf>
      <font>
        <color rgb="FFC00000"/>
      </font>
    </dxf>
    <dxf>
      <font>
        <color rgb="FF9C0006"/>
      </font>
    </dxf>
    <dxf>
      <font>
        <color rgb="FF9C0006"/>
      </font>
    </dxf>
    <dxf>
      <font>
        <color rgb="FFC00000"/>
      </font>
    </dxf>
    <dxf>
      <font>
        <color rgb="FFC00000"/>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9C0006"/>
      </font>
    </dxf>
    <dxf>
      <font>
        <color rgb="FFC0000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C00000"/>
      </font>
    </dxf>
    <dxf>
      <font>
        <color rgb="FF9C0006"/>
      </font>
    </dxf>
    <dxf>
      <font>
        <color rgb="FF9C0006"/>
      </font>
    </dxf>
    <dxf>
      <font>
        <color rgb="FF9C0006"/>
      </font>
    </dxf>
    <dxf>
      <font>
        <color rgb="FFC00000"/>
      </font>
    </dxf>
    <dxf>
      <font>
        <color rgb="FF9C0006"/>
      </font>
    </dxf>
    <dxf>
      <font>
        <color rgb="FF9C0006"/>
      </font>
    </dxf>
    <dxf>
      <font>
        <color rgb="FFC00000"/>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C00000"/>
      </font>
    </dxf>
    <dxf>
      <font>
        <color rgb="FF9C0006"/>
      </font>
    </dxf>
    <dxf>
      <font>
        <color rgb="FF9C0006"/>
      </font>
    </dxf>
    <dxf>
      <font>
        <color rgb="FF9C0006"/>
      </font>
    </dxf>
    <dxf>
      <font>
        <color rgb="FF9C0006"/>
      </font>
    </dxf>
    <dxf>
      <font>
        <color rgb="FF9C0006"/>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9C0006"/>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C00000"/>
      </font>
    </dxf>
    <dxf>
      <font>
        <color rgb="FF9C0006"/>
      </font>
    </dxf>
    <dxf>
      <font>
        <color rgb="FF9C0006"/>
      </font>
    </dxf>
    <dxf>
      <font>
        <color rgb="FF9C0006"/>
      </font>
    </dxf>
    <dxf>
      <font>
        <color rgb="FFC00000"/>
      </font>
    </dxf>
    <dxf>
      <font>
        <color rgb="FF9C0006"/>
      </font>
    </dxf>
    <dxf>
      <font>
        <color rgb="FF9C0006"/>
      </font>
    </dxf>
    <dxf>
      <font>
        <color rgb="FFC00000"/>
      </font>
    </dxf>
    <dxf>
      <font>
        <color rgb="FFC00000"/>
      </font>
    </dxf>
    <dxf>
      <font>
        <color rgb="FF9C0006"/>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9C0006"/>
      </font>
    </dxf>
    <dxf>
      <font>
        <color rgb="FF9C0006"/>
      </font>
    </dxf>
    <dxf>
      <font>
        <color rgb="FFC00000"/>
      </font>
    </dxf>
    <dxf>
      <font>
        <color rgb="FF9C0006"/>
      </font>
    </dxf>
    <dxf>
      <font>
        <color rgb="FFC00000"/>
      </font>
    </dxf>
    <dxf>
      <font>
        <color rgb="FF9C0006"/>
      </font>
    </dxf>
    <dxf>
      <font>
        <color rgb="FF9C0006"/>
      </font>
    </dxf>
    <dxf>
      <font>
        <color rgb="FFC00000"/>
      </font>
    </dxf>
    <dxf>
      <font>
        <color rgb="FF9C0006"/>
      </font>
    </dxf>
    <dxf>
      <font>
        <color rgb="FF9C0006"/>
      </font>
    </dxf>
    <dxf>
      <font>
        <color rgb="FF9C0006"/>
      </font>
    </dxf>
    <dxf>
      <font>
        <color rgb="FF9C0006"/>
      </font>
    </dxf>
    <dxf>
      <font>
        <color rgb="FF9C0006"/>
      </font>
    </dxf>
    <dxf>
      <font>
        <color rgb="FF9C0006"/>
      </font>
    </dxf>
    <dxf>
      <font>
        <color rgb="FFC00000"/>
      </font>
    </dxf>
    <dxf>
      <font>
        <color rgb="FF9C0006"/>
      </font>
    </dxf>
    <dxf>
      <font>
        <color rgb="FF9C0006"/>
      </font>
    </dxf>
    <dxf>
      <font>
        <color rgb="FF9C0006"/>
      </font>
    </dxf>
    <dxf>
      <font>
        <color rgb="FF9C0006"/>
      </font>
    </dxf>
    <dxf>
      <font>
        <color rgb="FF9C0006"/>
      </font>
    </dxf>
    <dxf>
      <font>
        <color rgb="FFC00000"/>
      </font>
    </dxf>
    <dxf>
      <font>
        <color rgb="FF9C0006"/>
      </font>
    </dxf>
    <dxf>
      <font>
        <color rgb="FFC00000"/>
      </font>
    </dxf>
    <dxf>
      <font>
        <color rgb="FFC00000"/>
      </font>
    </dxf>
    <dxf>
      <font>
        <color rgb="FF9C0006"/>
      </font>
    </dxf>
    <dxf>
      <font>
        <color rgb="FFC00000"/>
      </font>
    </dxf>
    <dxf>
      <font>
        <color rgb="FFC00000"/>
      </font>
    </dxf>
    <dxf>
      <font>
        <color rgb="FFC00000"/>
      </font>
    </dxf>
    <dxf>
      <font>
        <color rgb="FF9C0006"/>
      </font>
    </dxf>
    <dxf>
      <font>
        <color rgb="FF9C0006"/>
      </font>
    </dxf>
    <dxf>
      <font>
        <color rgb="FFC00000"/>
      </font>
    </dxf>
    <dxf>
      <font>
        <color rgb="FF9C0006"/>
      </font>
    </dxf>
    <dxf>
      <font>
        <color rgb="FF9C0006"/>
      </font>
    </dxf>
    <dxf>
      <font>
        <color rgb="FFC00000"/>
      </font>
    </dxf>
    <dxf>
      <font>
        <color rgb="FF9C0006"/>
      </font>
    </dxf>
    <dxf>
      <font>
        <color rgb="FFC00000"/>
      </font>
    </dxf>
    <dxf>
      <font>
        <color rgb="FFC00000"/>
      </font>
    </dxf>
    <dxf>
      <font>
        <color rgb="FF9C0006"/>
      </font>
    </dxf>
    <dxf>
      <font>
        <color rgb="FFC00000"/>
      </font>
    </dxf>
    <dxf>
      <font>
        <color rgb="FF9C0006"/>
      </font>
    </dxf>
    <dxf>
      <font>
        <color rgb="FF9C0006"/>
      </font>
    </dxf>
    <dxf>
      <font>
        <color rgb="FFC00000"/>
      </font>
    </dxf>
    <dxf>
      <font>
        <color rgb="FFC00000"/>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9C0006"/>
      </font>
    </dxf>
    <dxf>
      <font>
        <color rgb="FF9C0006"/>
      </font>
    </dxf>
    <dxf>
      <font>
        <color rgb="FFC00000"/>
      </font>
    </dxf>
    <dxf>
      <font>
        <color rgb="FF9C0006"/>
      </font>
    </dxf>
    <dxf>
      <font>
        <color rgb="FFC00000"/>
      </font>
    </dxf>
    <dxf>
      <font>
        <color rgb="FF9C0006"/>
      </font>
    </dxf>
    <dxf>
      <font>
        <color rgb="FFC00000"/>
      </font>
    </dxf>
    <dxf>
      <font>
        <color rgb="FF9C0006"/>
      </font>
    </dxf>
    <dxf>
      <font>
        <color rgb="FF9C0006"/>
      </font>
    </dxf>
    <dxf>
      <font>
        <color rgb="FF9C0006"/>
      </font>
    </dxf>
    <dxf>
      <font>
        <color rgb="FF9C0006"/>
      </font>
    </dxf>
    <dxf>
      <font>
        <color rgb="FFC00000"/>
      </font>
    </dxf>
    <dxf>
      <font>
        <color rgb="FF9C0006"/>
      </font>
    </dxf>
    <dxf>
      <font>
        <color rgb="FF9C0006"/>
      </font>
    </dxf>
    <dxf>
      <font>
        <color rgb="FF9C0006"/>
      </font>
    </dxf>
    <dxf>
      <font>
        <color rgb="FF9C0006"/>
      </font>
    </dxf>
    <dxf>
      <font>
        <b/>
        <i val="0"/>
        <color rgb="FFC00000"/>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B050"/>
      </font>
    </dxf>
    <dxf>
      <font>
        <color rgb="FF9C0006"/>
      </font>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dxf>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patternType="darkUp">
          <fgColor auto="1"/>
        </patternFill>
      </fill>
    </dxf>
    <dxf>
      <fill>
        <patternFill patternType="darkUp">
          <fgColor auto="1"/>
        </patternFill>
      </fill>
    </dxf>
    <dxf>
      <font>
        <color rgb="FF00B050"/>
      </font>
    </dxf>
    <dxf>
      <font>
        <color rgb="FF9C0006"/>
      </font>
    </dxf>
    <dxf>
      <font>
        <color rgb="FF00B050"/>
      </font>
    </dxf>
    <dxf>
      <font>
        <color rgb="FF9C0006"/>
      </font>
    </dxf>
    <dxf>
      <fill>
        <patternFill patternType="darkUp">
          <fgColor auto="1"/>
        </patternFill>
      </fill>
    </dxf>
    <dxf>
      <font>
        <color rgb="FF9C5700"/>
      </font>
      <fill>
        <patternFill>
          <bgColor rgb="FFFFEB9C"/>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s>
  <tableStyles count="0" defaultTableStyle="TableStyleMedium9" defaultPivotStyle="PivotStyleLight16"/>
  <colors>
    <mruColors>
      <color rgb="FFFA7D00"/>
      <color rgb="FF003F75"/>
      <color rgb="FFEB6796"/>
      <color rgb="FFBD2507"/>
      <color rgb="FFFF0000"/>
      <color rgb="FFC00000"/>
      <color rgb="FFF7FFF7"/>
      <color rgb="FFCCFFCC"/>
      <color rgb="FFC5F3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microsoft.com/office/2017/10/relationships/person" Target="persons/person.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2000">
                <a:latin typeface="Poppins" panose="00000500000000000000" pitchFamily="2" charset="0"/>
                <a:cs typeface="Poppins" panose="00000500000000000000" pitchFamily="2" charset="0"/>
              </a:rPr>
              <a:t>Revenue</a:t>
            </a:r>
            <a:r>
              <a:rPr lang="en-GB" sz="2000" baseline="0">
                <a:latin typeface="Poppins" panose="00000500000000000000" pitchFamily="2" charset="0"/>
                <a:cs typeface="Poppins" panose="00000500000000000000" pitchFamily="2" charset="0"/>
              </a:rPr>
              <a:t> distribution by scenario</a:t>
            </a:r>
            <a:endParaRPr lang="en-GB" sz="2000">
              <a:latin typeface="Poppins" panose="00000500000000000000" pitchFamily="2" charset="0"/>
              <a:cs typeface="Poppins" panose="00000500000000000000" pitchFamily="2" charset="0"/>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autoTitleDeleted val="0"/>
    <c:plotArea>
      <c:layout/>
      <c:barChart>
        <c:barDir val="bar"/>
        <c:grouping val="stacked"/>
        <c:varyColors val="0"/>
        <c:ser>
          <c:idx val="0"/>
          <c:order val="0"/>
          <c:tx>
            <c:strRef>
              <c:f>'Model Results - tables (draft)'!$Q$4</c:f>
              <c:strCache>
                <c:ptCount val="1"/>
                <c:pt idx="0">
                  <c:v>Annual com. benefit fund (£)</c:v>
                </c:pt>
              </c:strCache>
            </c:strRef>
          </c:tx>
          <c:spPr>
            <a:solidFill>
              <a:srgbClr val="FFC000"/>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'Model Results - tables (draft)'!$P$5:$P$94</c:f>
              <c:strCache>
                <c:ptCount val="90"/>
                <c:pt idx="0">
                  <c:v>500kW, low lease. 9p, low£</c:v>
                </c:pt>
                <c:pt idx="1">
                  <c:v>500kW, low lease. 9p, low£</c:v>
                </c:pt>
                <c:pt idx="2">
                  <c:v>500kW, low lease. 10p, low£</c:v>
                </c:pt>
                <c:pt idx="3">
                  <c:v>500kW, low lease. 10p, high£</c:v>
                </c:pt>
                <c:pt idx="4">
                  <c:v>500kW, low lease. 12p, low£</c:v>
                </c:pt>
                <c:pt idx="5">
                  <c:v>500kW, low lease. 12p, low£</c:v>
                </c:pt>
                <c:pt idx="6">
                  <c:v>500kW, low lease. 9p, mid£, grid+</c:v>
                </c:pt>
                <c:pt idx="7">
                  <c:v>500kW, low lease. 9p, high£, grid+</c:v>
                </c:pt>
                <c:pt idx="8">
                  <c:v>500kW, low lease. 10p, mid£, grid+</c:v>
                </c:pt>
                <c:pt idx="9">
                  <c:v>500kW, low lease. 10p, high£, grid+</c:v>
                </c:pt>
                <c:pt idx="10">
                  <c:v>500kW, low lease. 12p, mid£, grid+</c:v>
                </c:pt>
                <c:pt idx="11">
                  <c:v>500kW, low lease. 12p, high£, grid+</c:v>
                </c:pt>
                <c:pt idx="13">
                  <c:v>500kW, high lease. 9p, low£</c:v>
                </c:pt>
                <c:pt idx="14">
                  <c:v>500kW, high lease. 9p, low£</c:v>
                </c:pt>
                <c:pt idx="15">
                  <c:v>500kW, high lease. 10p, low£</c:v>
                </c:pt>
                <c:pt idx="16">
                  <c:v>500kW, high lease. 10p, high£</c:v>
                </c:pt>
                <c:pt idx="17">
                  <c:v>500kW, high lease. 12p, low£</c:v>
                </c:pt>
                <c:pt idx="18">
                  <c:v>500kW, high lease. 12p, low£</c:v>
                </c:pt>
                <c:pt idx="19">
                  <c:v>500kW, high lease. 9p, mid£, grid+</c:v>
                </c:pt>
                <c:pt idx="20">
                  <c:v>500kW, high lease. 9p, high£, grid+</c:v>
                </c:pt>
                <c:pt idx="21">
                  <c:v>500kW, high lease. 10p, mid£, grid+</c:v>
                </c:pt>
                <c:pt idx="22">
                  <c:v>500kW, high lease. 10p, high£, grid+</c:v>
                </c:pt>
                <c:pt idx="23">
                  <c:v>500kW, high lease. 12p, mid£, grid+</c:v>
                </c:pt>
                <c:pt idx="24">
                  <c:v>500kW, high lease. 12p, high£, grid+</c:v>
                </c:pt>
                <c:pt idx="26">
                  <c:v>300kW, low lease. 9p, low£</c:v>
                </c:pt>
                <c:pt idx="27">
                  <c:v>300kW, low lease. 9p, low£</c:v>
                </c:pt>
                <c:pt idx="28">
                  <c:v>300kW, low lease. 10p, low£</c:v>
                </c:pt>
                <c:pt idx="29">
                  <c:v>300kW, low lease. 10p, high£</c:v>
                </c:pt>
                <c:pt idx="30">
                  <c:v>300kW, low lease. 12p, low£</c:v>
                </c:pt>
                <c:pt idx="31">
                  <c:v>300kW, low lease. 12p, low£</c:v>
                </c:pt>
                <c:pt idx="32">
                  <c:v>300kW, low lease. 9p, mid£, grid+</c:v>
                </c:pt>
                <c:pt idx="33">
                  <c:v>300kW, low lease. 9p, high£, grid+</c:v>
                </c:pt>
                <c:pt idx="34">
                  <c:v>300kW, low lease. 10p, mid£, grid+</c:v>
                </c:pt>
                <c:pt idx="35">
                  <c:v>300kW, low lease. 10p, high£, grid+</c:v>
                </c:pt>
                <c:pt idx="36">
                  <c:v>300kW, low lease. 12p, mid£, grid+</c:v>
                </c:pt>
                <c:pt idx="37">
                  <c:v>300kW, low lease. 12p, high£, grid+</c:v>
                </c:pt>
                <c:pt idx="39">
                  <c:v>300kW, high lease. 9p, low£</c:v>
                </c:pt>
                <c:pt idx="40">
                  <c:v>300kW, high lease. 9p, low£</c:v>
                </c:pt>
                <c:pt idx="41">
                  <c:v>300kW, high lease. 10p, low£</c:v>
                </c:pt>
                <c:pt idx="42">
                  <c:v>300kW, high lease. 10p, high£</c:v>
                </c:pt>
                <c:pt idx="43">
                  <c:v>300kW, high lease. 12p, low£</c:v>
                </c:pt>
                <c:pt idx="44">
                  <c:v>300kW, high lease. 12p, low£</c:v>
                </c:pt>
                <c:pt idx="45">
                  <c:v>300kW, high lease. 9p, mid£, grid+</c:v>
                </c:pt>
                <c:pt idx="46">
                  <c:v>300kW, high lease. 9p, high£, grid+</c:v>
                </c:pt>
                <c:pt idx="47">
                  <c:v>300kW, high lease. 10p, mid£, grid+</c:v>
                </c:pt>
                <c:pt idx="48">
                  <c:v>300kW, high lease. 10p, high£, grid+</c:v>
                </c:pt>
                <c:pt idx="49">
                  <c:v>300kW, high lease. 12p, mid£, grid+</c:v>
                </c:pt>
                <c:pt idx="50">
                  <c:v>300kW, high lease. 12p, high£, grid+</c:v>
                </c:pt>
                <c:pt idx="52">
                  <c:v>300kW, low lease, no expot. 9p, low£</c:v>
                </c:pt>
                <c:pt idx="53">
                  <c:v>300kW, low lease, no expot. 9p, low£</c:v>
                </c:pt>
                <c:pt idx="54">
                  <c:v>300kW, low lease, no expot. 10p, low£</c:v>
                </c:pt>
                <c:pt idx="55">
                  <c:v>300kW, low lease, no expot. 10p, high£</c:v>
                </c:pt>
                <c:pt idx="56">
                  <c:v>300kW, low lease, no expot. 12p, low£</c:v>
                </c:pt>
                <c:pt idx="57">
                  <c:v>300kW, low lease, no expot. 12p, low£</c:v>
                </c:pt>
                <c:pt idx="58">
                  <c:v>300kW, low lease, no expot. 9p, mid£, grid+</c:v>
                </c:pt>
                <c:pt idx="59">
                  <c:v>300kW, low lease, no expot. 9p, high£, grid+</c:v>
                </c:pt>
                <c:pt idx="60">
                  <c:v>300kW, low lease, no expot. 10p, mid£, grid+</c:v>
                </c:pt>
                <c:pt idx="61">
                  <c:v>300kW, low lease, no expot. 10p, high£, grid+</c:v>
                </c:pt>
                <c:pt idx="62">
                  <c:v>300kW, low lease, no expot. 12p, mid£, grid+</c:v>
                </c:pt>
                <c:pt idx="63">
                  <c:v>300kW, low lease, no expot. 12p, high£, grid+</c:v>
                </c:pt>
                <c:pt idx="65">
                  <c:v>300kW, high lease, no export. 9p, low£</c:v>
                </c:pt>
                <c:pt idx="66">
                  <c:v>300kW, high lease, no export. 9p, low£</c:v>
                </c:pt>
                <c:pt idx="67">
                  <c:v>300kW, high lease, no export. 10p, low£</c:v>
                </c:pt>
                <c:pt idx="68">
                  <c:v>300kW, high lease, no export. 10p, high£</c:v>
                </c:pt>
                <c:pt idx="69">
                  <c:v>300kW, high lease, no export. 12p, low£</c:v>
                </c:pt>
                <c:pt idx="70">
                  <c:v>300kW, high lease, no export. 12p, low£</c:v>
                </c:pt>
                <c:pt idx="71">
                  <c:v>300kW, high lease, no export. 9p, mid£, grid+</c:v>
                </c:pt>
                <c:pt idx="72">
                  <c:v>300kW, high lease, no export. 9p, high£, grid+</c:v>
                </c:pt>
                <c:pt idx="73">
                  <c:v>300kW, high lease, no export. 10p, mid£, grid+</c:v>
                </c:pt>
                <c:pt idx="74">
                  <c:v>300kW, high lease, no export. 10p, high£, grid+</c:v>
                </c:pt>
                <c:pt idx="75">
                  <c:v>300kW, high lease, no export. 12p, mid£, grid+</c:v>
                </c:pt>
                <c:pt idx="76">
                  <c:v>300kW, high lease, no export. 12p, high£, grid+</c:v>
                </c:pt>
                <c:pt idx="78">
                  <c:v>500kW, low lease, no grant. 9p, low£</c:v>
                </c:pt>
                <c:pt idx="79">
                  <c:v>500kW, low lease, no grant. 9p, low£</c:v>
                </c:pt>
                <c:pt idx="80">
                  <c:v>500kW, low lease, no grant. 10p, low£</c:v>
                </c:pt>
                <c:pt idx="81">
                  <c:v>500kW, low lease, no grant. 10p, high£</c:v>
                </c:pt>
                <c:pt idx="82">
                  <c:v>500kW, low lease, no grant. 12p, low£</c:v>
                </c:pt>
                <c:pt idx="83">
                  <c:v>500kW, low lease, no grant. 12p, low£</c:v>
                </c:pt>
                <c:pt idx="84">
                  <c:v>500kW, low lease, no grant. 9p, mid£, grid+</c:v>
                </c:pt>
                <c:pt idx="85">
                  <c:v>500kW, low lease, no grant. 9p, high£, grid+</c:v>
                </c:pt>
                <c:pt idx="86">
                  <c:v>500kW, low lease, no grant. 10p, mid£, grid+</c:v>
                </c:pt>
                <c:pt idx="87">
                  <c:v>500kW, low lease, no grant. 10p, high£, grid+</c:v>
                </c:pt>
                <c:pt idx="88">
                  <c:v>500kW, low lease, no grant. 12p, mid£, grid+</c:v>
                </c:pt>
                <c:pt idx="89">
                  <c:v>500kW, low lease, no grant. 12p, high£, grid+</c:v>
                </c:pt>
              </c:strCache>
            </c:strRef>
          </c:cat>
          <c:val>
            <c:numRef>
              <c:f>'Model Results - tables (draft)'!$Q$5:$Q$94</c:f>
              <c:numCache>
                <c:formatCode>_-"£"* #,##0_-;\-"£"* #,##0_-;_-"£"* "-"??_-;_-@_-</c:formatCode>
                <c:ptCount val="90"/>
                <c:pt idx="0">
                  <c:v>18500</c:v>
                </c:pt>
                <c:pt idx="1">
                  <c:v>15800</c:v>
                </c:pt>
                <c:pt idx="2">
                  <c:v>22500</c:v>
                </c:pt>
                <c:pt idx="3">
                  <c:v>18500</c:v>
                </c:pt>
                <c:pt idx="4">
                  <c:v>30600</c:v>
                </c:pt>
                <c:pt idx="5">
                  <c:v>25900</c:v>
                </c:pt>
                <c:pt idx="6">
                  <c:v>16000</c:v>
                </c:pt>
                <c:pt idx="7">
                  <c:v>15800</c:v>
                </c:pt>
                <c:pt idx="8">
                  <c:v>19700</c:v>
                </c:pt>
                <c:pt idx="9">
                  <c:v>18400</c:v>
                </c:pt>
                <c:pt idx="10">
                  <c:v>27800</c:v>
                </c:pt>
                <c:pt idx="11">
                  <c:v>24900</c:v>
                </c:pt>
                <c:pt idx="13">
                  <c:v>16600</c:v>
                </c:pt>
                <c:pt idx="14">
                  <c:v>14600</c:v>
                </c:pt>
                <c:pt idx="15">
                  <c:v>20700</c:v>
                </c:pt>
                <c:pt idx="16">
                  <c:v>17200</c:v>
                </c:pt>
                <c:pt idx="17">
                  <c:v>28800</c:v>
                </c:pt>
                <c:pt idx="18">
                  <c:v>24100</c:v>
                </c:pt>
                <c:pt idx="19">
                  <c:v>14600</c:v>
                </c:pt>
                <c:pt idx="20">
                  <c:v>14600</c:v>
                </c:pt>
                <c:pt idx="21">
                  <c:v>17900</c:v>
                </c:pt>
                <c:pt idx="22">
                  <c:v>17200</c:v>
                </c:pt>
                <c:pt idx="23">
                  <c:v>25900</c:v>
                </c:pt>
                <c:pt idx="24">
                  <c:v>23100</c:v>
                </c:pt>
                <c:pt idx="26">
                  <c:v>8900</c:v>
                </c:pt>
                <c:pt idx="27">
                  <c:v>5300</c:v>
                </c:pt>
                <c:pt idx="28">
                  <c:v>11300</c:v>
                </c:pt>
                <c:pt idx="29">
                  <c:v>7800</c:v>
                </c:pt>
                <c:pt idx="30">
                  <c:v>16200</c:v>
                </c:pt>
                <c:pt idx="31">
                  <c:v>12600</c:v>
                </c:pt>
                <c:pt idx="32">
                  <c:v>6100</c:v>
                </c:pt>
                <c:pt idx="33">
                  <c:v>4600</c:v>
                </c:pt>
                <c:pt idx="34">
                  <c:v>8500</c:v>
                </c:pt>
                <c:pt idx="35">
                  <c:v>6800</c:v>
                </c:pt>
                <c:pt idx="36">
                  <c:v>13400</c:v>
                </c:pt>
                <c:pt idx="37">
                  <c:v>11700</c:v>
                </c:pt>
                <c:pt idx="39">
                  <c:v>7800</c:v>
                </c:pt>
                <c:pt idx="40">
                  <c:v>4300</c:v>
                </c:pt>
                <c:pt idx="41">
                  <c:v>10200</c:v>
                </c:pt>
                <c:pt idx="42">
                  <c:v>6700</c:v>
                </c:pt>
                <c:pt idx="43">
                  <c:v>15100</c:v>
                </c:pt>
                <c:pt idx="44">
                  <c:v>11600</c:v>
                </c:pt>
                <c:pt idx="45">
                  <c:v>5000</c:v>
                </c:pt>
                <c:pt idx="46">
                  <c:v>3900</c:v>
                </c:pt>
                <c:pt idx="47">
                  <c:v>7400</c:v>
                </c:pt>
                <c:pt idx="48">
                  <c:v>5700</c:v>
                </c:pt>
                <c:pt idx="49">
                  <c:v>12300</c:v>
                </c:pt>
                <c:pt idx="50">
                  <c:v>10600</c:v>
                </c:pt>
                <c:pt idx="52">
                  <c:v>10700</c:v>
                </c:pt>
                <c:pt idx="53">
                  <c:v>7200</c:v>
                </c:pt>
                <c:pt idx="54">
                  <c:v>13800</c:v>
                </c:pt>
                <c:pt idx="55">
                  <c:v>10200</c:v>
                </c:pt>
                <c:pt idx="56">
                  <c:v>19800</c:v>
                </c:pt>
                <c:pt idx="57">
                  <c:v>16300</c:v>
                </c:pt>
                <c:pt idx="58">
                  <c:v>7900</c:v>
                </c:pt>
                <c:pt idx="59">
                  <c:v>6200</c:v>
                </c:pt>
                <c:pt idx="60">
                  <c:v>10900</c:v>
                </c:pt>
                <c:pt idx="61">
                  <c:v>9200</c:v>
                </c:pt>
                <c:pt idx="62">
                  <c:v>17000</c:v>
                </c:pt>
                <c:pt idx="63">
                  <c:v>15300</c:v>
                </c:pt>
                <c:pt idx="65">
                  <c:v>9900</c:v>
                </c:pt>
                <c:pt idx="66">
                  <c:v>6300</c:v>
                </c:pt>
                <c:pt idx="67">
                  <c:v>13000</c:v>
                </c:pt>
                <c:pt idx="68">
                  <c:v>9300</c:v>
                </c:pt>
                <c:pt idx="69">
                  <c:v>19100</c:v>
                </c:pt>
                <c:pt idx="70">
                  <c:v>15400</c:v>
                </c:pt>
                <c:pt idx="71">
                  <c:v>8200</c:v>
                </c:pt>
                <c:pt idx="72">
                  <c:v>6200</c:v>
                </c:pt>
                <c:pt idx="73">
                  <c:v>11200</c:v>
                </c:pt>
                <c:pt idx="74">
                  <c:v>9200</c:v>
                </c:pt>
                <c:pt idx="75">
                  <c:v>17300</c:v>
                </c:pt>
                <c:pt idx="76">
                  <c:v>15300</c:v>
                </c:pt>
                <c:pt idx="78">
                  <c:v>5600</c:v>
                </c:pt>
                <c:pt idx="79">
                  <c:v>5600</c:v>
                </c:pt>
                <c:pt idx="80">
                  <c:v>7600</c:v>
                </c:pt>
                <c:pt idx="81">
                  <c:v>7600</c:v>
                </c:pt>
                <c:pt idx="82">
                  <c:v>11500</c:v>
                </c:pt>
                <c:pt idx="83">
                  <c:v>11500</c:v>
                </c:pt>
                <c:pt idx="84">
                  <c:v>5600</c:v>
                </c:pt>
                <c:pt idx="85">
                  <c:v>5600</c:v>
                </c:pt>
                <c:pt idx="86">
                  <c:v>7600</c:v>
                </c:pt>
                <c:pt idx="87">
                  <c:v>7600</c:v>
                </c:pt>
                <c:pt idx="88">
                  <c:v>11500</c:v>
                </c:pt>
                <c:pt idx="89">
                  <c:v>11500</c:v>
                </c:pt>
              </c:numCache>
            </c:numRef>
          </c:val>
          <c:extLst>
            <c:ext xmlns:c16="http://schemas.microsoft.com/office/drawing/2014/chart" uri="{C3380CC4-5D6E-409C-BE32-E72D297353CC}">
              <c16:uniqueId val="{00000000-00F9-4075-BD17-94043A6332CD}"/>
            </c:ext>
          </c:extLst>
        </c:ser>
        <c:ser>
          <c:idx val="1"/>
          <c:order val="1"/>
          <c:tx>
            <c:strRef>
              <c:f>'Model Results - tables (draft)'!$R$4</c:f>
              <c:strCache>
                <c:ptCount val="1"/>
                <c:pt idx="0">
                  <c:v>Annual shareholder dividends</c:v>
                </c:pt>
              </c:strCache>
            </c:strRef>
          </c:tx>
          <c:spPr>
            <a:solidFill>
              <a:schemeClr val="accent2">
                <a:lumMod val="50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'Model Results - tables (draft)'!$P$5:$P$94</c:f>
              <c:strCache>
                <c:ptCount val="90"/>
                <c:pt idx="0">
                  <c:v>500kW, low lease. 9p, low£</c:v>
                </c:pt>
                <c:pt idx="1">
                  <c:v>500kW, low lease. 9p, low£</c:v>
                </c:pt>
                <c:pt idx="2">
                  <c:v>500kW, low lease. 10p, low£</c:v>
                </c:pt>
                <c:pt idx="3">
                  <c:v>500kW, low lease. 10p, high£</c:v>
                </c:pt>
                <c:pt idx="4">
                  <c:v>500kW, low lease. 12p, low£</c:v>
                </c:pt>
                <c:pt idx="5">
                  <c:v>500kW, low lease. 12p, low£</c:v>
                </c:pt>
                <c:pt idx="6">
                  <c:v>500kW, low lease. 9p, mid£, grid+</c:v>
                </c:pt>
                <c:pt idx="7">
                  <c:v>500kW, low lease. 9p, high£, grid+</c:v>
                </c:pt>
                <c:pt idx="8">
                  <c:v>500kW, low lease. 10p, mid£, grid+</c:v>
                </c:pt>
                <c:pt idx="9">
                  <c:v>500kW, low lease. 10p, high£, grid+</c:v>
                </c:pt>
                <c:pt idx="10">
                  <c:v>500kW, low lease. 12p, mid£, grid+</c:v>
                </c:pt>
                <c:pt idx="11">
                  <c:v>500kW, low lease. 12p, high£, grid+</c:v>
                </c:pt>
                <c:pt idx="13">
                  <c:v>500kW, high lease. 9p, low£</c:v>
                </c:pt>
                <c:pt idx="14">
                  <c:v>500kW, high lease. 9p, low£</c:v>
                </c:pt>
                <c:pt idx="15">
                  <c:v>500kW, high lease. 10p, low£</c:v>
                </c:pt>
                <c:pt idx="16">
                  <c:v>500kW, high lease. 10p, high£</c:v>
                </c:pt>
                <c:pt idx="17">
                  <c:v>500kW, high lease. 12p, low£</c:v>
                </c:pt>
                <c:pt idx="18">
                  <c:v>500kW, high lease. 12p, low£</c:v>
                </c:pt>
                <c:pt idx="19">
                  <c:v>500kW, high lease. 9p, mid£, grid+</c:v>
                </c:pt>
                <c:pt idx="20">
                  <c:v>500kW, high lease. 9p, high£, grid+</c:v>
                </c:pt>
                <c:pt idx="21">
                  <c:v>500kW, high lease. 10p, mid£, grid+</c:v>
                </c:pt>
                <c:pt idx="22">
                  <c:v>500kW, high lease. 10p, high£, grid+</c:v>
                </c:pt>
                <c:pt idx="23">
                  <c:v>500kW, high lease. 12p, mid£, grid+</c:v>
                </c:pt>
                <c:pt idx="24">
                  <c:v>500kW, high lease. 12p, high£, grid+</c:v>
                </c:pt>
                <c:pt idx="26">
                  <c:v>300kW, low lease. 9p, low£</c:v>
                </c:pt>
                <c:pt idx="27">
                  <c:v>300kW, low lease. 9p, low£</c:v>
                </c:pt>
                <c:pt idx="28">
                  <c:v>300kW, low lease. 10p, low£</c:v>
                </c:pt>
                <c:pt idx="29">
                  <c:v>300kW, low lease. 10p, high£</c:v>
                </c:pt>
                <c:pt idx="30">
                  <c:v>300kW, low lease. 12p, low£</c:v>
                </c:pt>
                <c:pt idx="31">
                  <c:v>300kW, low lease. 12p, low£</c:v>
                </c:pt>
                <c:pt idx="32">
                  <c:v>300kW, low lease. 9p, mid£, grid+</c:v>
                </c:pt>
                <c:pt idx="33">
                  <c:v>300kW, low lease. 9p, high£, grid+</c:v>
                </c:pt>
                <c:pt idx="34">
                  <c:v>300kW, low lease. 10p, mid£, grid+</c:v>
                </c:pt>
                <c:pt idx="35">
                  <c:v>300kW, low lease. 10p, high£, grid+</c:v>
                </c:pt>
                <c:pt idx="36">
                  <c:v>300kW, low lease. 12p, mid£, grid+</c:v>
                </c:pt>
                <c:pt idx="37">
                  <c:v>300kW, low lease. 12p, high£, grid+</c:v>
                </c:pt>
                <c:pt idx="39">
                  <c:v>300kW, high lease. 9p, low£</c:v>
                </c:pt>
                <c:pt idx="40">
                  <c:v>300kW, high lease. 9p, low£</c:v>
                </c:pt>
                <c:pt idx="41">
                  <c:v>300kW, high lease. 10p, low£</c:v>
                </c:pt>
                <c:pt idx="42">
                  <c:v>300kW, high lease. 10p, high£</c:v>
                </c:pt>
                <c:pt idx="43">
                  <c:v>300kW, high lease. 12p, low£</c:v>
                </c:pt>
                <c:pt idx="44">
                  <c:v>300kW, high lease. 12p, low£</c:v>
                </c:pt>
                <c:pt idx="45">
                  <c:v>300kW, high lease. 9p, mid£, grid+</c:v>
                </c:pt>
                <c:pt idx="46">
                  <c:v>300kW, high lease. 9p, high£, grid+</c:v>
                </c:pt>
                <c:pt idx="47">
                  <c:v>300kW, high lease. 10p, mid£, grid+</c:v>
                </c:pt>
                <c:pt idx="48">
                  <c:v>300kW, high lease. 10p, high£, grid+</c:v>
                </c:pt>
                <c:pt idx="49">
                  <c:v>300kW, high lease. 12p, mid£, grid+</c:v>
                </c:pt>
                <c:pt idx="50">
                  <c:v>300kW, high lease. 12p, high£, grid+</c:v>
                </c:pt>
                <c:pt idx="52">
                  <c:v>300kW, low lease, no expot. 9p, low£</c:v>
                </c:pt>
                <c:pt idx="53">
                  <c:v>300kW, low lease, no expot. 9p, low£</c:v>
                </c:pt>
                <c:pt idx="54">
                  <c:v>300kW, low lease, no expot. 10p, low£</c:v>
                </c:pt>
                <c:pt idx="55">
                  <c:v>300kW, low lease, no expot. 10p, high£</c:v>
                </c:pt>
                <c:pt idx="56">
                  <c:v>300kW, low lease, no expot. 12p, low£</c:v>
                </c:pt>
                <c:pt idx="57">
                  <c:v>300kW, low lease, no expot. 12p, low£</c:v>
                </c:pt>
                <c:pt idx="58">
                  <c:v>300kW, low lease, no expot. 9p, mid£, grid+</c:v>
                </c:pt>
                <c:pt idx="59">
                  <c:v>300kW, low lease, no expot. 9p, high£, grid+</c:v>
                </c:pt>
                <c:pt idx="60">
                  <c:v>300kW, low lease, no expot. 10p, mid£, grid+</c:v>
                </c:pt>
                <c:pt idx="61">
                  <c:v>300kW, low lease, no expot. 10p, high£, grid+</c:v>
                </c:pt>
                <c:pt idx="62">
                  <c:v>300kW, low lease, no expot. 12p, mid£, grid+</c:v>
                </c:pt>
                <c:pt idx="63">
                  <c:v>300kW, low lease, no expot. 12p, high£, grid+</c:v>
                </c:pt>
                <c:pt idx="65">
                  <c:v>300kW, high lease, no export. 9p, low£</c:v>
                </c:pt>
                <c:pt idx="66">
                  <c:v>300kW, high lease, no export. 9p, low£</c:v>
                </c:pt>
                <c:pt idx="67">
                  <c:v>300kW, high lease, no export. 10p, low£</c:v>
                </c:pt>
                <c:pt idx="68">
                  <c:v>300kW, high lease, no export. 10p, high£</c:v>
                </c:pt>
                <c:pt idx="69">
                  <c:v>300kW, high lease, no export. 12p, low£</c:v>
                </c:pt>
                <c:pt idx="70">
                  <c:v>300kW, high lease, no export. 12p, low£</c:v>
                </c:pt>
                <c:pt idx="71">
                  <c:v>300kW, high lease, no export. 9p, mid£, grid+</c:v>
                </c:pt>
                <c:pt idx="72">
                  <c:v>300kW, high lease, no export. 9p, high£, grid+</c:v>
                </c:pt>
                <c:pt idx="73">
                  <c:v>300kW, high lease, no export. 10p, mid£, grid+</c:v>
                </c:pt>
                <c:pt idx="74">
                  <c:v>300kW, high lease, no export. 10p, high£, grid+</c:v>
                </c:pt>
                <c:pt idx="75">
                  <c:v>300kW, high lease, no export. 12p, mid£, grid+</c:v>
                </c:pt>
                <c:pt idx="76">
                  <c:v>300kW, high lease, no export. 12p, high£, grid+</c:v>
                </c:pt>
                <c:pt idx="78">
                  <c:v>500kW, low lease, no grant. 9p, low£</c:v>
                </c:pt>
                <c:pt idx="79">
                  <c:v>500kW, low lease, no grant. 9p, low£</c:v>
                </c:pt>
                <c:pt idx="80">
                  <c:v>500kW, low lease, no grant. 10p, low£</c:v>
                </c:pt>
                <c:pt idx="81">
                  <c:v>500kW, low lease, no grant. 10p, high£</c:v>
                </c:pt>
                <c:pt idx="82">
                  <c:v>500kW, low lease, no grant. 12p, low£</c:v>
                </c:pt>
                <c:pt idx="83">
                  <c:v>500kW, low lease, no grant. 12p, low£</c:v>
                </c:pt>
                <c:pt idx="84">
                  <c:v>500kW, low lease, no grant. 9p, mid£, grid+</c:v>
                </c:pt>
                <c:pt idx="85">
                  <c:v>500kW, low lease, no grant. 9p, high£, grid+</c:v>
                </c:pt>
                <c:pt idx="86">
                  <c:v>500kW, low lease, no grant. 10p, mid£, grid+</c:v>
                </c:pt>
                <c:pt idx="87">
                  <c:v>500kW, low lease, no grant. 10p, high£, grid+</c:v>
                </c:pt>
                <c:pt idx="88">
                  <c:v>500kW, low lease, no grant. 12p, mid£, grid+</c:v>
                </c:pt>
                <c:pt idx="89">
                  <c:v>500kW, low lease, no grant. 12p, high£, grid+</c:v>
                </c:pt>
              </c:strCache>
            </c:strRef>
          </c:cat>
          <c:val>
            <c:numRef>
              <c:f>'Model Results - tables (draft)'!$R$5:$R$94</c:f>
              <c:numCache>
                <c:formatCode>_-"£"* #,##0_-;\-"£"* #,##0_-;_-"£"* "-"??_-;_-@_-</c:formatCode>
                <c:ptCount val="90"/>
                <c:pt idx="0">
                  <c:v>6000</c:v>
                </c:pt>
                <c:pt idx="1">
                  <c:v>100</c:v>
                </c:pt>
                <c:pt idx="2">
                  <c:v>6000</c:v>
                </c:pt>
                <c:pt idx="3">
                  <c:v>3800</c:v>
                </c:pt>
                <c:pt idx="4">
                  <c:v>6000</c:v>
                </c:pt>
                <c:pt idx="5">
                  <c:v>6000</c:v>
                </c:pt>
                <c:pt idx="6">
                  <c:v>4700</c:v>
                </c:pt>
                <c:pt idx="7">
                  <c:v>0</c:v>
                </c:pt>
                <c:pt idx="8">
                  <c:v>6000</c:v>
                </c:pt>
                <c:pt idx="9">
                  <c:v>1300</c:v>
                </c:pt>
                <c:pt idx="10">
                  <c:v>6000</c:v>
                </c:pt>
                <c:pt idx="11">
                  <c:v>6000</c:v>
                </c:pt>
                <c:pt idx="13">
                  <c:v>6000</c:v>
                </c:pt>
                <c:pt idx="14">
                  <c:v>0</c:v>
                </c:pt>
                <c:pt idx="15">
                  <c:v>6000</c:v>
                </c:pt>
                <c:pt idx="16">
                  <c:v>2200</c:v>
                </c:pt>
                <c:pt idx="17">
                  <c:v>6000</c:v>
                </c:pt>
                <c:pt idx="18">
                  <c:v>6000</c:v>
                </c:pt>
                <c:pt idx="19">
                  <c:v>3200</c:v>
                </c:pt>
                <c:pt idx="20">
                  <c:v>0</c:v>
                </c:pt>
                <c:pt idx="21">
                  <c:v>6000</c:v>
                </c:pt>
                <c:pt idx="22">
                  <c:v>0</c:v>
                </c:pt>
                <c:pt idx="23">
                  <c:v>6000</c:v>
                </c:pt>
                <c:pt idx="24">
                  <c:v>6000</c:v>
                </c:pt>
                <c:pt idx="26">
                  <c:v>4900</c:v>
                </c:pt>
                <c:pt idx="27">
                  <c:v>6000</c:v>
                </c:pt>
                <c:pt idx="28">
                  <c:v>4900</c:v>
                </c:pt>
                <c:pt idx="29">
                  <c:v>6000</c:v>
                </c:pt>
                <c:pt idx="30">
                  <c:v>4900</c:v>
                </c:pt>
                <c:pt idx="31">
                  <c:v>6000</c:v>
                </c:pt>
                <c:pt idx="32">
                  <c:v>6000</c:v>
                </c:pt>
                <c:pt idx="33">
                  <c:v>5000</c:v>
                </c:pt>
                <c:pt idx="34">
                  <c:v>6000</c:v>
                </c:pt>
                <c:pt idx="35">
                  <c:v>6000</c:v>
                </c:pt>
                <c:pt idx="36">
                  <c:v>6000</c:v>
                </c:pt>
                <c:pt idx="37">
                  <c:v>6000</c:v>
                </c:pt>
                <c:pt idx="39">
                  <c:v>4900</c:v>
                </c:pt>
                <c:pt idx="40">
                  <c:v>6000</c:v>
                </c:pt>
                <c:pt idx="41">
                  <c:v>4900</c:v>
                </c:pt>
                <c:pt idx="42">
                  <c:v>6000</c:v>
                </c:pt>
                <c:pt idx="43">
                  <c:v>4900</c:v>
                </c:pt>
                <c:pt idx="44">
                  <c:v>6000</c:v>
                </c:pt>
                <c:pt idx="45">
                  <c:v>6000</c:v>
                </c:pt>
                <c:pt idx="46">
                  <c:v>4100</c:v>
                </c:pt>
                <c:pt idx="47">
                  <c:v>6000</c:v>
                </c:pt>
                <c:pt idx="48">
                  <c:v>6000</c:v>
                </c:pt>
                <c:pt idx="49">
                  <c:v>6000</c:v>
                </c:pt>
                <c:pt idx="50">
                  <c:v>6000</c:v>
                </c:pt>
                <c:pt idx="52">
                  <c:v>4900</c:v>
                </c:pt>
                <c:pt idx="53">
                  <c:v>6000</c:v>
                </c:pt>
                <c:pt idx="54">
                  <c:v>4900</c:v>
                </c:pt>
                <c:pt idx="55">
                  <c:v>6000</c:v>
                </c:pt>
                <c:pt idx="56">
                  <c:v>4900</c:v>
                </c:pt>
                <c:pt idx="57">
                  <c:v>6000</c:v>
                </c:pt>
                <c:pt idx="58">
                  <c:v>6000</c:v>
                </c:pt>
                <c:pt idx="59">
                  <c:v>6000</c:v>
                </c:pt>
                <c:pt idx="60">
                  <c:v>6000</c:v>
                </c:pt>
                <c:pt idx="61">
                  <c:v>6000</c:v>
                </c:pt>
                <c:pt idx="62">
                  <c:v>6000</c:v>
                </c:pt>
                <c:pt idx="63">
                  <c:v>6000</c:v>
                </c:pt>
                <c:pt idx="65">
                  <c:v>4800</c:v>
                </c:pt>
                <c:pt idx="66">
                  <c:v>6000</c:v>
                </c:pt>
                <c:pt idx="67">
                  <c:v>4800</c:v>
                </c:pt>
                <c:pt idx="68">
                  <c:v>6000</c:v>
                </c:pt>
                <c:pt idx="69">
                  <c:v>4800</c:v>
                </c:pt>
                <c:pt idx="70">
                  <c:v>6000</c:v>
                </c:pt>
                <c:pt idx="71">
                  <c:v>5600</c:v>
                </c:pt>
                <c:pt idx="72">
                  <c:v>6000</c:v>
                </c:pt>
                <c:pt idx="73">
                  <c:v>5600</c:v>
                </c:pt>
                <c:pt idx="74">
                  <c:v>6000</c:v>
                </c:pt>
                <c:pt idx="75">
                  <c:v>5600</c:v>
                </c:pt>
                <c:pt idx="76">
                  <c:v>6000</c:v>
                </c:pt>
                <c:pt idx="78">
                  <c:v>0</c:v>
                </c:pt>
                <c:pt idx="79">
                  <c:v>0</c:v>
                </c:pt>
                <c:pt idx="80">
                  <c:v>0</c:v>
                </c:pt>
                <c:pt idx="81">
                  <c:v>0</c:v>
                </c:pt>
                <c:pt idx="82">
                  <c:v>0</c:v>
                </c:pt>
                <c:pt idx="83">
                  <c:v>0</c:v>
                </c:pt>
                <c:pt idx="84">
                  <c:v>0</c:v>
                </c:pt>
                <c:pt idx="85">
                  <c:v>0</c:v>
                </c:pt>
                <c:pt idx="86">
                  <c:v>0</c:v>
                </c:pt>
                <c:pt idx="87">
                  <c:v>0</c:v>
                </c:pt>
                <c:pt idx="88">
                  <c:v>0</c:v>
                </c:pt>
                <c:pt idx="89">
                  <c:v>0</c:v>
                </c:pt>
              </c:numCache>
            </c:numRef>
          </c:val>
          <c:extLst>
            <c:ext xmlns:c16="http://schemas.microsoft.com/office/drawing/2014/chart" uri="{C3380CC4-5D6E-409C-BE32-E72D297353CC}">
              <c16:uniqueId val="{00000001-00F9-4075-BD17-94043A6332CD}"/>
            </c:ext>
          </c:extLst>
        </c:ser>
        <c:ser>
          <c:idx val="2"/>
          <c:order val="2"/>
          <c:tx>
            <c:strRef>
              <c:f>'Model Results - tables (draft)'!$S$4</c:f>
              <c:strCache>
                <c:ptCount val="1"/>
                <c:pt idx="0">
                  <c:v>Landlord Yr 1 fuel savings</c:v>
                </c:pt>
              </c:strCache>
            </c:strRef>
          </c:tx>
          <c:spPr>
            <a:solidFill>
              <a:schemeClr val="tx1">
                <a:lumMod val="65000"/>
                <a:lumOff val="35000"/>
              </a:schemeClr>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'Model Results - tables (draft)'!$P$5:$P$94</c:f>
              <c:strCache>
                <c:ptCount val="90"/>
                <c:pt idx="0">
                  <c:v>500kW, low lease. 9p, low£</c:v>
                </c:pt>
                <c:pt idx="1">
                  <c:v>500kW, low lease. 9p, low£</c:v>
                </c:pt>
                <c:pt idx="2">
                  <c:v>500kW, low lease. 10p, low£</c:v>
                </c:pt>
                <c:pt idx="3">
                  <c:v>500kW, low lease. 10p, high£</c:v>
                </c:pt>
                <c:pt idx="4">
                  <c:v>500kW, low lease. 12p, low£</c:v>
                </c:pt>
                <c:pt idx="5">
                  <c:v>500kW, low lease. 12p, low£</c:v>
                </c:pt>
                <c:pt idx="6">
                  <c:v>500kW, low lease. 9p, mid£, grid+</c:v>
                </c:pt>
                <c:pt idx="7">
                  <c:v>500kW, low lease. 9p, high£, grid+</c:v>
                </c:pt>
                <c:pt idx="8">
                  <c:v>500kW, low lease. 10p, mid£, grid+</c:v>
                </c:pt>
                <c:pt idx="9">
                  <c:v>500kW, low lease. 10p, high£, grid+</c:v>
                </c:pt>
                <c:pt idx="10">
                  <c:v>500kW, low lease. 12p, mid£, grid+</c:v>
                </c:pt>
                <c:pt idx="11">
                  <c:v>500kW, low lease. 12p, high£, grid+</c:v>
                </c:pt>
                <c:pt idx="13">
                  <c:v>500kW, high lease. 9p, low£</c:v>
                </c:pt>
                <c:pt idx="14">
                  <c:v>500kW, high lease. 9p, low£</c:v>
                </c:pt>
                <c:pt idx="15">
                  <c:v>500kW, high lease. 10p, low£</c:v>
                </c:pt>
                <c:pt idx="16">
                  <c:v>500kW, high lease. 10p, high£</c:v>
                </c:pt>
                <c:pt idx="17">
                  <c:v>500kW, high lease. 12p, low£</c:v>
                </c:pt>
                <c:pt idx="18">
                  <c:v>500kW, high lease. 12p, low£</c:v>
                </c:pt>
                <c:pt idx="19">
                  <c:v>500kW, high lease. 9p, mid£, grid+</c:v>
                </c:pt>
                <c:pt idx="20">
                  <c:v>500kW, high lease. 9p, high£, grid+</c:v>
                </c:pt>
                <c:pt idx="21">
                  <c:v>500kW, high lease. 10p, mid£, grid+</c:v>
                </c:pt>
                <c:pt idx="22">
                  <c:v>500kW, high lease. 10p, high£, grid+</c:v>
                </c:pt>
                <c:pt idx="23">
                  <c:v>500kW, high lease. 12p, mid£, grid+</c:v>
                </c:pt>
                <c:pt idx="24">
                  <c:v>500kW, high lease. 12p, high£, grid+</c:v>
                </c:pt>
                <c:pt idx="26">
                  <c:v>300kW, low lease. 9p, low£</c:v>
                </c:pt>
                <c:pt idx="27">
                  <c:v>300kW, low lease. 9p, low£</c:v>
                </c:pt>
                <c:pt idx="28">
                  <c:v>300kW, low lease. 10p, low£</c:v>
                </c:pt>
                <c:pt idx="29">
                  <c:v>300kW, low lease. 10p, high£</c:v>
                </c:pt>
                <c:pt idx="30">
                  <c:v>300kW, low lease. 12p, low£</c:v>
                </c:pt>
                <c:pt idx="31">
                  <c:v>300kW, low lease. 12p, low£</c:v>
                </c:pt>
                <c:pt idx="32">
                  <c:v>300kW, low lease. 9p, mid£, grid+</c:v>
                </c:pt>
                <c:pt idx="33">
                  <c:v>300kW, low lease. 9p, high£, grid+</c:v>
                </c:pt>
                <c:pt idx="34">
                  <c:v>300kW, low lease. 10p, mid£, grid+</c:v>
                </c:pt>
                <c:pt idx="35">
                  <c:v>300kW, low lease. 10p, high£, grid+</c:v>
                </c:pt>
                <c:pt idx="36">
                  <c:v>300kW, low lease. 12p, mid£, grid+</c:v>
                </c:pt>
                <c:pt idx="37">
                  <c:v>300kW, low lease. 12p, high£, grid+</c:v>
                </c:pt>
                <c:pt idx="39">
                  <c:v>300kW, high lease. 9p, low£</c:v>
                </c:pt>
                <c:pt idx="40">
                  <c:v>300kW, high lease. 9p, low£</c:v>
                </c:pt>
                <c:pt idx="41">
                  <c:v>300kW, high lease. 10p, low£</c:v>
                </c:pt>
                <c:pt idx="42">
                  <c:v>300kW, high lease. 10p, high£</c:v>
                </c:pt>
                <c:pt idx="43">
                  <c:v>300kW, high lease. 12p, low£</c:v>
                </c:pt>
                <c:pt idx="44">
                  <c:v>300kW, high lease. 12p, low£</c:v>
                </c:pt>
                <c:pt idx="45">
                  <c:v>300kW, high lease. 9p, mid£, grid+</c:v>
                </c:pt>
                <c:pt idx="46">
                  <c:v>300kW, high lease. 9p, high£, grid+</c:v>
                </c:pt>
                <c:pt idx="47">
                  <c:v>300kW, high lease. 10p, mid£, grid+</c:v>
                </c:pt>
                <c:pt idx="48">
                  <c:v>300kW, high lease. 10p, high£, grid+</c:v>
                </c:pt>
                <c:pt idx="49">
                  <c:v>300kW, high lease. 12p, mid£, grid+</c:v>
                </c:pt>
                <c:pt idx="50">
                  <c:v>300kW, high lease. 12p, high£, grid+</c:v>
                </c:pt>
                <c:pt idx="52">
                  <c:v>300kW, low lease, no expot. 9p, low£</c:v>
                </c:pt>
                <c:pt idx="53">
                  <c:v>300kW, low lease, no expot. 9p, low£</c:v>
                </c:pt>
                <c:pt idx="54">
                  <c:v>300kW, low lease, no expot. 10p, low£</c:v>
                </c:pt>
                <c:pt idx="55">
                  <c:v>300kW, low lease, no expot. 10p, high£</c:v>
                </c:pt>
                <c:pt idx="56">
                  <c:v>300kW, low lease, no expot. 12p, low£</c:v>
                </c:pt>
                <c:pt idx="57">
                  <c:v>300kW, low lease, no expot. 12p, low£</c:v>
                </c:pt>
                <c:pt idx="58">
                  <c:v>300kW, low lease, no expot. 9p, mid£, grid+</c:v>
                </c:pt>
                <c:pt idx="59">
                  <c:v>300kW, low lease, no expot. 9p, high£, grid+</c:v>
                </c:pt>
                <c:pt idx="60">
                  <c:v>300kW, low lease, no expot. 10p, mid£, grid+</c:v>
                </c:pt>
                <c:pt idx="61">
                  <c:v>300kW, low lease, no expot. 10p, high£, grid+</c:v>
                </c:pt>
                <c:pt idx="62">
                  <c:v>300kW, low lease, no expot. 12p, mid£, grid+</c:v>
                </c:pt>
                <c:pt idx="63">
                  <c:v>300kW, low lease, no expot. 12p, high£, grid+</c:v>
                </c:pt>
                <c:pt idx="65">
                  <c:v>300kW, high lease, no export. 9p, low£</c:v>
                </c:pt>
                <c:pt idx="66">
                  <c:v>300kW, high lease, no export. 9p, low£</c:v>
                </c:pt>
                <c:pt idx="67">
                  <c:v>300kW, high lease, no export. 10p, low£</c:v>
                </c:pt>
                <c:pt idx="68">
                  <c:v>300kW, high lease, no export. 10p, high£</c:v>
                </c:pt>
                <c:pt idx="69">
                  <c:v>300kW, high lease, no export. 12p, low£</c:v>
                </c:pt>
                <c:pt idx="70">
                  <c:v>300kW, high lease, no export. 12p, low£</c:v>
                </c:pt>
                <c:pt idx="71">
                  <c:v>300kW, high lease, no export. 9p, mid£, grid+</c:v>
                </c:pt>
                <c:pt idx="72">
                  <c:v>300kW, high lease, no export. 9p, high£, grid+</c:v>
                </c:pt>
                <c:pt idx="73">
                  <c:v>300kW, high lease, no export. 10p, mid£, grid+</c:v>
                </c:pt>
                <c:pt idx="74">
                  <c:v>300kW, high lease, no export. 10p, high£, grid+</c:v>
                </c:pt>
                <c:pt idx="75">
                  <c:v>300kW, high lease, no export. 12p, mid£, grid+</c:v>
                </c:pt>
                <c:pt idx="76">
                  <c:v>300kW, high lease, no export. 12p, high£, grid+</c:v>
                </c:pt>
                <c:pt idx="78">
                  <c:v>500kW, low lease, no grant. 9p, low£</c:v>
                </c:pt>
                <c:pt idx="79">
                  <c:v>500kW, low lease, no grant. 9p, low£</c:v>
                </c:pt>
                <c:pt idx="80">
                  <c:v>500kW, low lease, no grant. 10p, low£</c:v>
                </c:pt>
                <c:pt idx="81">
                  <c:v>500kW, low lease, no grant. 10p, high£</c:v>
                </c:pt>
                <c:pt idx="82">
                  <c:v>500kW, low lease, no grant. 12p, low£</c:v>
                </c:pt>
                <c:pt idx="83">
                  <c:v>500kW, low lease, no grant. 12p, low£</c:v>
                </c:pt>
                <c:pt idx="84">
                  <c:v>500kW, low lease, no grant. 9p, mid£, grid+</c:v>
                </c:pt>
                <c:pt idx="85">
                  <c:v>500kW, low lease, no grant. 9p, high£, grid+</c:v>
                </c:pt>
                <c:pt idx="86">
                  <c:v>500kW, low lease, no grant. 10p, mid£, grid+</c:v>
                </c:pt>
                <c:pt idx="87">
                  <c:v>500kW, low lease, no grant. 10p, high£, grid+</c:v>
                </c:pt>
                <c:pt idx="88">
                  <c:v>500kW, low lease, no grant. 12p, mid£, grid+</c:v>
                </c:pt>
                <c:pt idx="89">
                  <c:v>500kW, low lease, no grant. 12p, high£, grid+</c:v>
                </c:pt>
              </c:strCache>
            </c:strRef>
          </c:cat>
          <c:val>
            <c:numRef>
              <c:f>'Model Results - tables (draft)'!$S$5:$S$94</c:f>
              <c:numCache>
                <c:formatCode>"£"#,##0</c:formatCode>
                <c:ptCount val="90"/>
                <c:pt idx="0">
                  <c:v>16700</c:v>
                </c:pt>
                <c:pt idx="1">
                  <c:v>16700</c:v>
                </c:pt>
                <c:pt idx="2">
                  <c:v>13200</c:v>
                </c:pt>
                <c:pt idx="3">
                  <c:v>13200</c:v>
                </c:pt>
                <c:pt idx="4">
                  <c:v>6200</c:v>
                </c:pt>
                <c:pt idx="5">
                  <c:v>6200</c:v>
                </c:pt>
                <c:pt idx="6">
                  <c:v>16700</c:v>
                </c:pt>
                <c:pt idx="7">
                  <c:v>16700</c:v>
                </c:pt>
                <c:pt idx="8">
                  <c:v>13200</c:v>
                </c:pt>
                <c:pt idx="9">
                  <c:v>13200</c:v>
                </c:pt>
                <c:pt idx="10">
                  <c:v>6200</c:v>
                </c:pt>
                <c:pt idx="11">
                  <c:v>6200</c:v>
                </c:pt>
                <c:pt idx="13">
                  <c:v>16700</c:v>
                </c:pt>
                <c:pt idx="14">
                  <c:v>16700</c:v>
                </c:pt>
                <c:pt idx="15">
                  <c:v>13200</c:v>
                </c:pt>
                <c:pt idx="16">
                  <c:v>13200</c:v>
                </c:pt>
                <c:pt idx="17">
                  <c:v>6200</c:v>
                </c:pt>
                <c:pt idx="18">
                  <c:v>6200</c:v>
                </c:pt>
                <c:pt idx="19">
                  <c:v>16700</c:v>
                </c:pt>
                <c:pt idx="20">
                  <c:v>16700</c:v>
                </c:pt>
                <c:pt idx="21">
                  <c:v>13200</c:v>
                </c:pt>
                <c:pt idx="22">
                  <c:v>13200</c:v>
                </c:pt>
                <c:pt idx="23">
                  <c:v>6200</c:v>
                </c:pt>
                <c:pt idx="24">
                  <c:v>6200</c:v>
                </c:pt>
                <c:pt idx="26">
                  <c:v>10000</c:v>
                </c:pt>
                <c:pt idx="27">
                  <c:v>10000</c:v>
                </c:pt>
                <c:pt idx="28">
                  <c:v>7900</c:v>
                </c:pt>
                <c:pt idx="29">
                  <c:v>7900</c:v>
                </c:pt>
                <c:pt idx="30">
                  <c:v>3700</c:v>
                </c:pt>
                <c:pt idx="31">
                  <c:v>3700</c:v>
                </c:pt>
                <c:pt idx="32">
                  <c:v>10000</c:v>
                </c:pt>
                <c:pt idx="33">
                  <c:v>10000</c:v>
                </c:pt>
                <c:pt idx="34">
                  <c:v>7900</c:v>
                </c:pt>
                <c:pt idx="35">
                  <c:v>7900</c:v>
                </c:pt>
                <c:pt idx="36">
                  <c:v>3700</c:v>
                </c:pt>
                <c:pt idx="37">
                  <c:v>3700</c:v>
                </c:pt>
                <c:pt idx="39">
                  <c:v>10000</c:v>
                </c:pt>
                <c:pt idx="40">
                  <c:v>10000</c:v>
                </c:pt>
                <c:pt idx="41">
                  <c:v>7900</c:v>
                </c:pt>
                <c:pt idx="42">
                  <c:v>7900</c:v>
                </c:pt>
                <c:pt idx="43">
                  <c:v>3700</c:v>
                </c:pt>
                <c:pt idx="44">
                  <c:v>3700</c:v>
                </c:pt>
                <c:pt idx="45">
                  <c:v>10000</c:v>
                </c:pt>
                <c:pt idx="46">
                  <c:v>10000</c:v>
                </c:pt>
                <c:pt idx="47">
                  <c:v>7900</c:v>
                </c:pt>
                <c:pt idx="48">
                  <c:v>7900</c:v>
                </c:pt>
                <c:pt idx="49">
                  <c:v>3700</c:v>
                </c:pt>
                <c:pt idx="50">
                  <c:v>3700</c:v>
                </c:pt>
                <c:pt idx="52">
                  <c:v>12500</c:v>
                </c:pt>
                <c:pt idx="53">
                  <c:v>12500</c:v>
                </c:pt>
                <c:pt idx="54">
                  <c:v>9900</c:v>
                </c:pt>
                <c:pt idx="55">
                  <c:v>9900</c:v>
                </c:pt>
                <c:pt idx="56">
                  <c:v>4600</c:v>
                </c:pt>
                <c:pt idx="57">
                  <c:v>4600</c:v>
                </c:pt>
                <c:pt idx="58">
                  <c:v>12500</c:v>
                </c:pt>
                <c:pt idx="59">
                  <c:v>12500</c:v>
                </c:pt>
                <c:pt idx="60">
                  <c:v>9900</c:v>
                </c:pt>
                <c:pt idx="61">
                  <c:v>9900</c:v>
                </c:pt>
                <c:pt idx="62">
                  <c:v>4600</c:v>
                </c:pt>
                <c:pt idx="63">
                  <c:v>4600</c:v>
                </c:pt>
                <c:pt idx="65">
                  <c:v>12500</c:v>
                </c:pt>
                <c:pt idx="66">
                  <c:v>12500</c:v>
                </c:pt>
                <c:pt idx="67">
                  <c:v>9900</c:v>
                </c:pt>
                <c:pt idx="68">
                  <c:v>9900</c:v>
                </c:pt>
                <c:pt idx="69">
                  <c:v>4600</c:v>
                </c:pt>
                <c:pt idx="70">
                  <c:v>4600</c:v>
                </c:pt>
                <c:pt idx="71">
                  <c:v>12500</c:v>
                </c:pt>
                <c:pt idx="72">
                  <c:v>12500</c:v>
                </c:pt>
                <c:pt idx="73">
                  <c:v>9900</c:v>
                </c:pt>
                <c:pt idx="74">
                  <c:v>9900</c:v>
                </c:pt>
                <c:pt idx="75">
                  <c:v>4600</c:v>
                </c:pt>
                <c:pt idx="76">
                  <c:v>4600</c:v>
                </c:pt>
                <c:pt idx="78">
                  <c:v>12500</c:v>
                </c:pt>
                <c:pt idx="79">
                  <c:v>12500</c:v>
                </c:pt>
                <c:pt idx="80">
                  <c:v>9900</c:v>
                </c:pt>
                <c:pt idx="81">
                  <c:v>9900</c:v>
                </c:pt>
                <c:pt idx="82">
                  <c:v>4600</c:v>
                </c:pt>
                <c:pt idx="83">
                  <c:v>4600</c:v>
                </c:pt>
                <c:pt idx="84">
                  <c:v>12500</c:v>
                </c:pt>
                <c:pt idx="85">
                  <c:v>12500</c:v>
                </c:pt>
                <c:pt idx="86">
                  <c:v>9900</c:v>
                </c:pt>
                <c:pt idx="87">
                  <c:v>9900</c:v>
                </c:pt>
                <c:pt idx="88">
                  <c:v>4600</c:v>
                </c:pt>
                <c:pt idx="89">
                  <c:v>4600</c:v>
                </c:pt>
              </c:numCache>
            </c:numRef>
          </c:val>
          <c:extLst>
            <c:ext xmlns:c16="http://schemas.microsoft.com/office/drawing/2014/chart" uri="{C3380CC4-5D6E-409C-BE32-E72D297353CC}">
              <c16:uniqueId val="{00000002-00F9-4075-BD17-94043A6332CD}"/>
            </c:ext>
          </c:extLst>
        </c:ser>
        <c:ser>
          <c:idx val="3"/>
          <c:order val="3"/>
          <c:tx>
            <c:strRef>
              <c:f>'Model Results - tables (draft)'!$T$4</c:f>
              <c:strCache>
                <c:ptCount val="1"/>
                <c:pt idx="0">
                  <c:v>Lease payments</c:v>
                </c:pt>
              </c:strCache>
            </c:strRef>
          </c:tx>
          <c:spPr>
            <a:solidFill>
              <a:schemeClr val="accent5"/>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0">
                <a:spAutoFit/>
              </a:bodyPr>
              <a:lstStyle/>
              <a:p>
                <a:pPr algn="r">
                  <a:defRPr sz="900" b="0" i="0" u="none" strike="noStrike" kern="1200" baseline="0">
                    <a:solidFill>
                      <a:schemeClr val="bg1"/>
                    </a:solidFill>
                    <a:latin typeface="Poppins" panose="00000500000000000000" pitchFamily="2" charset="0"/>
                    <a:ea typeface="+mn-ea"/>
                    <a:cs typeface="Poppins" panose="00000500000000000000" pitchFamily="2"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'Model Results - tables (draft)'!$P$5:$P$94</c:f>
              <c:strCache>
                <c:ptCount val="90"/>
                <c:pt idx="0">
                  <c:v>500kW, low lease. 9p, low£</c:v>
                </c:pt>
                <c:pt idx="1">
                  <c:v>500kW, low lease. 9p, low£</c:v>
                </c:pt>
                <c:pt idx="2">
                  <c:v>500kW, low lease. 10p, low£</c:v>
                </c:pt>
                <c:pt idx="3">
                  <c:v>500kW, low lease. 10p, high£</c:v>
                </c:pt>
                <c:pt idx="4">
                  <c:v>500kW, low lease. 12p, low£</c:v>
                </c:pt>
                <c:pt idx="5">
                  <c:v>500kW, low lease. 12p, low£</c:v>
                </c:pt>
                <c:pt idx="6">
                  <c:v>500kW, low lease. 9p, mid£, grid+</c:v>
                </c:pt>
                <c:pt idx="7">
                  <c:v>500kW, low lease. 9p, high£, grid+</c:v>
                </c:pt>
                <c:pt idx="8">
                  <c:v>500kW, low lease. 10p, mid£, grid+</c:v>
                </c:pt>
                <c:pt idx="9">
                  <c:v>500kW, low lease. 10p, high£, grid+</c:v>
                </c:pt>
                <c:pt idx="10">
                  <c:v>500kW, low lease. 12p, mid£, grid+</c:v>
                </c:pt>
                <c:pt idx="11">
                  <c:v>500kW, low lease. 12p, high£, grid+</c:v>
                </c:pt>
                <c:pt idx="13">
                  <c:v>500kW, high lease. 9p, low£</c:v>
                </c:pt>
                <c:pt idx="14">
                  <c:v>500kW, high lease. 9p, low£</c:v>
                </c:pt>
                <c:pt idx="15">
                  <c:v>500kW, high lease. 10p, low£</c:v>
                </c:pt>
                <c:pt idx="16">
                  <c:v>500kW, high lease. 10p, high£</c:v>
                </c:pt>
                <c:pt idx="17">
                  <c:v>500kW, high lease. 12p, low£</c:v>
                </c:pt>
                <c:pt idx="18">
                  <c:v>500kW, high lease. 12p, low£</c:v>
                </c:pt>
                <c:pt idx="19">
                  <c:v>500kW, high lease. 9p, mid£, grid+</c:v>
                </c:pt>
                <c:pt idx="20">
                  <c:v>500kW, high lease. 9p, high£, grid+</c:v>
                </c:pt>
                <c:pt idx="21">
                  <c:v>500kW, high lease. 10p, mid£, grid+</c:v>
                </c:pt>
                <c:pt idx="22">
                  <c:v>500kW, high lease. 10p, high£, grid+</c:v>
                </c:pt>
                <c:pt idx="23">
                  <c:v>500kW, high lease. 12p, mid£, grid+</c:v>
                </c:pt>
                <c:pt idx="24">
                  <c:v>500kW, high lease. 12p, high£, grid+</c:v>
                </c:pt>
                <c:pt idx="26">
                  <c:v>300kW, low lease. 9p, low£</c:v>
                </c:pt>
                <c:pt idx="27">
                  <c:v>300kW, low lease. 9p, low£</c:v>
                </c:pt>
                <c:pt idx="28">
                  <c:v>300kW, low lease. 10p, low£</c:v>
                </c:pt>
                <c:pt idx="29">
                  <c:v>300kW, low lease. 10p, high£</c:v>
                </c:pt>
                <c:pt idx="30">
                  <c:v>300kW, low lease. 12p, low£</c:v>
                </c:pt>
                <c:pt idx="31">
                  <c:v>300kW, low lease. 12p, low£</c:v>
                </c:pt>
                <c:pt idx="32">
                  <c:v>300kW, low lease. 9p, mid£, grid+</c:v>
                </c:pt>
                <c:pt idx="33">
                  <c:v>300kW, low lease. 9p, high£, grid+</c:v>
                </c:pt>
                <c:pt idx="34">
                  <c:v>300kW, low lease. 10p, mid£, grid+</c:v>
                </c:pt>
                <c:pt idx="35">
                  <c:v>300kW, low lease. 10p, high£, grid+</c:v>
                </c:pt>
                <c:pt idx="36">
                  <c:v>300kW, low lease. 12p, mid£, grid+</c:v>
                </c:pt>
                <c:pt idx="37">
                  <c:v>300kW, low lease. 12p, high£, grid+</c:v>
                </c:pt>
                <c:pt idx="39">
                  <c:v>300kW, high lease. 9p, low£</c:v>
                </c:pt>
                <c:pt idx="40">
                  <c:v>300kW, high lease. 9p, low£</c:v>
                </c:pt>
                <c:pt idx="41">
                  <c:v>300kW, high lease. 10p, low£</c:v>
                </c:pt>
                <c:pt idx="42">
                  <c:v>300kW, high lease. 10p, high£</c:v>
                </c:pt>
                <c:pt idx="43">
                  <c:v>300kW, high lease. 12p, low£</c:v>
                </c:pt>
                <c:pt idx="44">
                  <c:v>300kW, high lease. 12p, low£</c:v>
                </c:pt>
                <c:pt idx="45">
                  <c:v>300kW, high lease. 9p, mid£, grid+</c:v>
                </c:pt>
                <c:pt idx="46">
                  <c:v>300kW, high lease. 9p, high£, grid+</c:v>
                </c:pt>
                <c:pt idx="47">
                  <c:v>300kW, high lease. 10p, mid£, grid+</c:v>
                </c:pt>
                <c:pt idx="48">
                  <c:v>300kW, high lease. 10p, high£, grid+</c:v>
                </c:pt>
                <c:pt idx="49">
                  <c:v>300kW, high lease. 12p, mid£, grid+</c:v>
                </c:pt>
                <c:pt idx="50">
                  <c:v>300kW, high lease. 12p, high£, grid+</c:v>
                </c:pt>
                <c:pt idx="52">
                  <c:v>300kW, low lease, no expot. 9p, low£</c:v>
                </c:pt>
                <c:pt idx="53">
                  <c:v>300kW, low lease, no expot. 9p, low£</c:v>
                </c:pt>
                <c:pt idx="54">
                  <c:v>300kW, low lease, no expot. 10p, low£</c:v>
                </c:pt>
                <c:pt idx="55">
                  <c:v>300kW, low lease, no expot. 10p, high£</c:v>
                </c:pt>
                <c:pt idx="56">
                  <c:v>300kW, low lease, no expot. 12p, low£</c:v>
                </c:pt>
                <c:pt idx="57">
                  <c:v>300kW, low lease, no expot. 12p, low£</c:v>
                </c:pt>
                <c:pt idx="58">
                  <c:v>300kW, low lease, no expot. 9p, mid£, grid+</c:v>
                </c:pt>
                <c:pt idx="59">
                  <c:v>300kW, low lease, no expot. 9p, high£, grid+</c:v>
                </c:pt>
                <c:pt idx="60">
                  <c:v>300kW, low lease, no expot. 10p, mid£, grid+</c:v>
                </c:pt>
                <c:pt idx="61">
                  <c:v>300kW, low lease, no expot. 10p, high£, grid+</c:v>
                </c:pt>
                <c:pt idx="62">
                  <c:v>300kW, low lease, no expot. 12p, mid£, grid+</c:v>
                </c:pt>
                <c:pt idx="63">
                  <c:v>300kW, low lease, no expot. 12p, high£, grid+</c:v>
                </c:pt>
                <c:pt idx="65">
                  <c:v>300kW, high lease, no export. 9p, low£</c:v>
                </c:pt>
                <c:pt idx="66">
                  <c:v>300kW, high lease, no export. 9p, low£</c:v>
                </c:pt>
                <c:pt idx="67">
                  <c:v>300kW, high lease, no export. 10p, low£</c:v>
                </c:pt>
                <c:pt idx="68">
                  <c:v>300kW, high lease, no export. 10p, high£</c:v>
                </c:pt>
                <c:pt idx="69">
                  <c:v>300kW, high lease, no export. 12p, low£</c:v>
                </c:pt>
                <c:pt idx="70">
                  <c:v>300kW, high lease, no export. 12p, low£</c:v>
                </c:pt>
                <c:pt idx="71">
                  <c:v>300kW, high lease, no export. 9p, mid£, grid+</c:v>
                </c:pt>
                <c:pt idx="72">
                  <c:v>300kW, high lease, no export. 9p, high£, grid+</c:v>
                </c:pt>
                <c:pt idx="73">
                  <c:v>300kW, high lease, no export. 10p, mid£, grid+</c:v>
                </c:pt>
                <c:pt idx="74">
                  <c:v>300kW, high lease, no export. 10p, high£, grid+</c:v>
                </c:pt>
                <c:pt idx="75">
                  <c:v>300kW, high lease, no export. 12p, mid£, grid+</c:v>
                </c:pt>
                <c:pt idx="76">
                  <c:v>300kW, high lease, no export. 12p, high£, grid+</c:v>
                </c:pt>
                <c:pt idx="78">
                  <c:v>500kW, low lease, no grant. 9p, low£</c:v>
                </c:pt>
                <c:pt idx="79">
                  <c:v>500kW, low lease, no grant. 9p, low£</c:v>
                </c:pt>
                <c:pt idx="80">
                  <c:v>500kW, low lease, no grant. 10p, low£</c:v>
                </c:pt>
                <c:pt idx="81">
                  <c:v>500kW, low lease, no grant. 10p, high£</c:v>
                </c:pt>
                <c:pt idx="82">
                  <c:v>500kW, low lease, no grant. 12p, low£</c:v>
                </c:pt>
                <c:pt idx="83">
                  <c:v>500kW, low lease, no grant. 12p, low£</c:v>
                </c:pt>
                <c:pt idx="84">
                  <c:v>500kW, low lease, no grant. 9p, mid£, grid+</c:v>
                </c:pt>
                <c:pt idx="85">
                  <c:v>500kW, low lease, no grant. 9p, high£, grid+</c:v>
                </c:pt>
                <c:pt idx="86">
                  <c:v>500kW, low lease, no grant. 10p, mid£, grid+</c:v>
                </c:pt>
                <c:pt idx="87">
                  <c:v>500kW, low lease, no grant. 10p, high£, grid+</c:v>
                </c:pt>
                <c:pt idx="88">
                  <c:v>500kW, low lease, no grant. 12p, mid£, grid+</c:v>
                </c:pt>
                <c:pt idx="89">
                  <c:v>500kW, low lease, no grant. 12p, high£, grid+</c:v>
                </c:pt>
              </c:strCache>
            </c:strRef>
          </c:cat>
          <c:val>
            <c:numRef>
              <c:f>'Model Results - tables (draft)'!$T$5:$T$94</c:f>
              <c:numCache>
                <c:formatCode>_-"£"* #,##0_-;\-"£"* #,##0_-;_-"£"* "-"??_-;_-@_-</c:formatCode>
                <c:ptCount val="90"/>
                <c:pt idx="0">
                  <c:v>1400</c:v>
                </c:pt>
                <c:pt idx="1">
                  <c:v>1400</c:v>
                </c:pt>
                <c:pt idx="2">
                  <c:v>1400</c:v>
                </c:pt>
                <c:pt idx="3">
                  <c:v>1400</c:v>
                </c:pt>
                <c:pt idx="4">
                  <c:v>1400</c:v>
                </c:pt>
                <c:pt idx="5">
                  <c:v>1400</c:v>
                </c:pt>
                <c:pt idx="6">
                  <c:v>1400</c:v>
                </c:pt>
                <c:pt idx="7">
                  <c:v>1400</c:v>
                </c:pt>
                <c:pt idx="8">
                  <c:v>1400</c:v>
                </c:pt>
                <c:pt idx="9">
                  <c:v>1400</c:v>
                </c:pt>
                <c:pt idx="10">
                  <c:v>1400</c:v>
                </c:pt>
                <c:pt idx="11">
                  <c:v>1400</c:v>
                </c:pt>
                <c:pt idx="13">
                  <c:v>2800</c:v>
                </c:pt>
                <c:pt idx="14">
                  <c:v>2800</c:v>
                </c:pt>
                <c:pt idx="15">
                  <c:v>2800</c:v>
                </c:pt>
                <c:pt idx="16">
                  <c:v>2800</c:v>
                </c:pt>
                <c:pt idx="17">
                  <c:v>2800</c:v>
                </c:pt>
                <c:pt idx="18">
                  <c:v>2800</c:v>
                </c:pt>
                <c:pt idx="19">
                  <c:v>2800</c:v>
                </c:pt>
                <c:pt idx="20">
                  <c:v>2800</c:v>
                </c:pt>
                <c:pt idx="21">
                  <c:v>2800</c:v>
                </c:pt>
                <c:pt idx="22">
                  <c:v>2800</c:v>
                </c:pt>
                <c:pt idx="23">
                  <c:v>2800</c:v>
                </c:pt>
                <c:pt idx="24">
                  <c:v>2800</c:v>
                </c:pt>
                <c:pt idx="26">
                  <c:v>800</c:v>
                </c:pt>
                <c:pt idx="27">
                  <c:v>800</c:v>
                </c:pt>
                <c:pt idx="28">
                  <c:v>800</c:v>
                </c:pt>
                <c:pt idx="29">
                  <c:v>800</c:v>
                </c:pt>
                <c:pt idx="30">
                  <c:v>800</c:v>
                </c:pt>
                <c:pt idx="31">
                  <c:v>800</c:v>
                </c:pt>
                <c:pt idx="32">
                  <c:v>800</c:v>
                </c:pt>
                <c:pt idx="33">
                  <c:v>800</c:v>
                </c:pt>
                <c:pt idx="34">
                  <c:v>800</c:v>
                </c:pt>
                <c:pt idx="35">
                  <c:v>800</c:v>
                </c:pt>
                <c:pt idx="36">
                  <c:v>800</c:v>
                </c:pt>
                <c:pt idx="37">
                  <c:v>800</c:v>
                </c:pt>
                <c:pt idx="39">
                  <c:v>1700</c:v>
                </c:pt>
                <c:pt idx="40">
                  <c:v>1700</c:v>
                </c:pt>
                <c:pt idx="41">
                  <c:v>1700</c:v>
                </c:pt>
                <c:pt idx="42">
                  <c:v>1700</c:v>
                </c:pt>
                <c:pt idx="43">
                  <c:v>1700</c:v>
                </c:pt>
                <c:pt idx="44">
                  <c:v>1700</c:v>
                </c:pt>
                <c:pt idx="45">
                  <c:v>1700</c:v>
                </c:pt>
                <c:pt idx="46">
                  <c:v>1700</c:v>
                </c:pt>
                <c:pt idx="47">
                  <c:v>1700</c:v>
                </c:pt>
                <c:pt idx="48">
                  <c:v>1700</c:v>
                </c:pt>
                <c:pt idx="49">
                  <c:v>1700</c:v>
                </c:pt>
                <c:pt idx="50">
                  <c:v>1700</c:v>
                </c:pt>
                <c:pt idx="52">
                  <c:v>800</c:v>
                </c:pt>
                <c:pt idx="53">
                  <c:v>800</c:v>
                </c:pt>
                <c:pt idx="54">
                  <c:v>800</c:v>
                </c:pt>
                <c:pt idx="55">
                  <c:v>800</c:v>
                </c:pt>
                <c:pt idx="56">
                  <c:v>800</c:v>
                </c:pt>
                <c:pt idx="57">
                  <c:v>800</c:v>
                </c:pt>
                <c:pt idx="58">
                  <c:v>800</c:v>
                </c:pt>
                <c:pt idx="59">
                  <c:v>800</c:v>
                </c:pt>
                <c:pt idx="60">
                  <c:v>800</c:v>
                </c:pt>
                <c:pt idx="61">
                  <c:v>800</c:v>
                </c:pt>
                <c:pt idx="62">
                  <c:v>800</c:v>
                </c:pt>
                <c:pt idx="63">
                  <c:v>800</c:v>
                </c:pt>
                <c:pt idx="65">
                  <c:v>1700</c:v>
                </c:pt>
                <c:pt idx="66">
                  <c:v>1700</c:v>
                </c:pt>
                <c:pt idx="67">
                  <c:v>1700</c:v>
                </c:pt>
                <c:pt idx="68">
                  <c:v>1700</c:v>
                </c:pt>
                <c:pt idx="69">
                  <c:v>1700</c:v>
                </c:pt>
                <c:pt idx="70">
                  <c:v>1700</c:v>
                </c:pt>
                <c:pt idx="71">
                  <c:v>1700</c:v>
                </c:pt>
                <c:pt idx="72">
                  <c:v>1700</c:v>
                </c:pt>
                <c:pt idx="73">
                  <c:v>1700</c:v>
                </c:pt>
                <c:pt idx="74">
                  <c:v>1700</c:v>
                </c:pt>
                <c:pt idx="75">
                  <c:v>1700</c:v>
                </c:pt>
                <c:pt idx="76">
                  <c:v>1700</c:v>
                </c:pt>
                <c:pt idx="78">
                  <c:v>800</c:v>
                </c:pt>
                <c:pt idx="79">
                  <c:v>800</c:v>
                </c:pt>
                <c:pt idx="80">
                  <c:v>800</c:v>
                </c:pt>
                <c:pt idx="81">
                  <c:v>800</c:v>
                </c:pt>
                <c:pt idx="82">
                  <c:v>800</c:v>
                </c:pt>
                <c:pt idx="83">
                  <c:v>800</c:v>
                </c:pt>
                <c:pt idx="84">
                  <c:v>800</c:v>
                </c:pt>
                <c:pt idx="85">
                  <c:v>800</c:v>
                </c:pt>
                <c:pt idx="86">
                  <c:v>800</c:v>
                </c:pt>
                <c:pt idx="87">
                  <c:v>800</c:v>
                </c:pt>
                <c:pt idx="88">
                  <c:v>800</c:v>
                </c:pt>
                <c:pt idx="89">
                  <c:v>800</c:v>
                </c:pt>
              </c:numCache>
            </c:numRef>
          </c:val>
          <c:extLst>
            <c:ext xmlns:c16="http://schemas.microsoft.com/office/drawing/2014/chart" uri="{C3380CC4-5D6E-409C-BE32-E72D297353CC}">
              <c16:uniqueId val="{00000003-00F9-4075-BD17-94043A6332CD}"/>
            </c:ext>
          </c:extLst>
        </c:ser>
        <c:ser>
          <c:idx val="4"/>
          <c:order val="4"/>
          <c:tx>
            <c:strRef>
              <c:f>'Model Results - tables (draft)'!$U$4</c:f>
              <c:strCache>
                <c:ptCount val="1"/>
                <c:pt idx="0">
                  <c:v>(IRR)</c:v>
                </c:pt>
              </c:strCache>
            </c:strRef>
          </c:tx>
          <c:spPr>
            <a:no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900" b="0" i="1" u="none" strike="noStrike" kern="1200" baseline="0">
                    <a:solidFill>
                      <a:schemeClr val="accent4"/>
                    </a:solidFill>
                    <a:latin typeface="Poppins" panose="00000500000000000000" pitchFamily="2" charset="0"/>
                    <a:ea typeface="+mn-ea"/>
                    <a:cs typeface="Poppins" panose="00000500000000000000" pitchFamily="2"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'Model Results - tables (draft)'!$P$5:$P$94</c:f>
              <c:strCache>
                <c:ptCount val="90"/>
                <c:pt idx="0">
                  <c:v>500kW, low lease. 9p, low£</c:v>
                </c:pt>
                <c:pt idx="1">
                  <c:v>500kW, low lease. 9p, low£</c:v>
                </c:pt>
                <c:pt idx="2">
                  <c:v>500kW, low lease. 10p, low£</c:v>
                </c:pt>
                <c:pt idx="3">
                  <c:v>500kW, low lease. 10p, high£</c:v>
                </c:pt>
                <c:pt idx="4">
                  <c:v>500kW, low lease. 12p, low£</c:v>
                </c:pt>
                <c:pt idx="5">
                  <c:v>500kW, low lease. 12p, low£</c:v>
                </c:pt>
                <c:pt idx="6">
                  <c:v>500kW, low lease. 9p, mid£, grid+</c:v>
                </c:pt>
                <c:pt idx="7">
                  <c:v>500kW, low lease. 9p, high£, grid+</c:v>
                </c:pt>
                <c:pt idx="8">
                  <c:v>500kW, low lease. 10p, mid£, grid+</c:v>
                </c:pt>
                <c:pt idx="9">
                  <c:v>500kW, low lease. 10p, high£, grid+</c:v>
                </c:pt>
                <c:pt idx="10">
                  <c:v>500kW, low lease. 12p, mid£, grid+</c:v>
                </c:pt>
                <c:pt idx="11">
                  <c:v>500kW, low lease. 12p, high£, grid+</c:v>
                </c:pt>
                <c:pt idx="13">
                  <c:v>500kW, high lease. 9p, low£</c:v>
                </c:pt>
                <c:pt idx="14">
                  <c:v>500kW, high lease. 9p, low£</c:v>
                </c:pt>
                <c:pt idx="15">
                  <c:v>500kW, high lease. 10p, low£</c:v>
                </c:pt>
                <c:pt idx="16">
                  <c:v>500kW, high lease. 10p, high£</c:v>
                </c:pt>
                <c:pt idx="17">
                  <c:v>500kW, high lease. 12p, low£</c:v>
                </c:pt>
                <c:pt idx="18">
                  <c:v>500kW, high lease. 12p, low£</c:v>
                </c:pt>
                <c:pt idx="19">
                  <c:v>500kW, high lease. 9p, mid£, grid+</c:v>
                </c:pt>
                <c:pt idx="20">
                  <c:v>500kW, high lease. 9p, high£, grid+</c:v>
                </c:pt>
                <c:pt idx="21">
                  <c:v>500kW, high lease. 10p, mid£, grid+</c:v>
                </c:pt>
                <c:pt idx="22">
                  <c:v>500kW, high lease. 10p, high£, grid+</c:v>
                </c:pt>
                <c:pt idx="23">
                  <c:v>500kW, high lease. 12p, mid£, grid+</c:v>
                </c:pt>
                <c:pt idx="24">
                  <c:v>500kW, high lease. 12p, high£, grid+</c:v>
                </c:pt>
                <c:pt idx="26">
                  <c:v>300kW, low lease. 9p, low£</c:v>
                </c:pt>
                <c:pt idx="27">
                  <c:v>300kW, low lease. 9p, low£</c:v>
                </c:pt>
                <c:pt idx="28">
                  <c:v>300kW, low lease. 10p, low£</c:v>
                </c:pt>
                <c:pt idx="29">
                  <c:v>300kW, low lease. 10p, high£</c:v>
                </c:pt>
                <c:pt idx="30">
                  <c:v>300kW, low lease. 12p, low£</c:v>
                </c:pt>
                <c:pt idx="31">
                  <c:v>300kW, low lease. 12p, low£</c:v>
                </c:pt>
                <c:pt idx="32">
                  <c:v>300kW, low lease. 9p, mid£, grid+</c:v>
                </c:pt>
                <c:pt idx="33">
                  <c:v>300kW, low lease. 9p, high£, grid+</c:v>
                </c:pt>
                <c:pt idx="34">
                  <c:v>300kW, low lease. 10p, mid£, grid+</c:v>
                </c:pt>
                <c:pt idx="35">
                  <c:v>300kW, low lease. 10p, high£, grid+</c:v>
                </c:pt>
                <c:pt idx="36">
                  <c:v>300kW, low lease. 12p, mid£, grid+</c:v>
                </c:pt>
                <c:pt idx="37">
                  <c:v>300kW, low lease. 12p, high£, grid+</c:v>
                </c:pt>
                <c:pt idx="39">
                  <c:v>300kW, high lease. 9p, low£</c:v>
                </c:pt>
                <c:pt idx="40">
                  <c:v>300kW, high lease. 9p, low£</c:v>
                </c:pt>
                <c:pt idx="41">
                  <c:v>300kW, high lease. 10p, low£</c:v>
                </c:pt>
                <c:pt idx="42">
                  <c:v>300kW, high lease. 10p, high£</c:v>
                </c:pt>
                <c:pt idx="43">
                  <c:v>300kW, high lease. 12p, low£</c:v>
                </c:pt>
                <c:pt idx="44">
                  <c:v>300kW, high lease. 12p, low£</c:v>
                </c:pt>
                <c:pt idx="45">
                  <c:v>300kW, high lease. 9p, mid£, grid+</c:v>
                </c:pt>
                <c:pt idx="46">
                  <c:v>300kW, high lease. 9p, high£, grid+</c:v>
                </c:pt>
                <c:pt idx="47">
                  <c:v>300kW, high lease. 10p, mid£, grid+</c:v>
                </c:pt>
                <c:pt idx="48">
                  <c:v>300kW, high lease. 10p, high£, grid+</c:v>
                </c:pt>
                <c:pt idx="49">
                  <c:v>300kW, high lease. 12p, mid£, grid+</c:v>
                </c:pt>
                <c:pt idx="50">
                  <c:v>300kW, high lease. 12p, high£, grid+</c:v>
                </c:pt>
                <c:pt idx="52">
                  <c:v>300kW, low lease, no expot. 9p, low£</c:v>
                </c:pt>
                <c:pt idx="53">
                  <c:v>300kW, low lease, no expot. 9p, low£</c:v>
                </c:pt>
                <c:pt idx="54">
                  <c:v>300kW, low lease, no expot. 10p, low£</c:v>
                </c:pt>
                <c:pt idx="55">
                  <c:v>300kW, low lease, no expot. 10p, high£</c:v>
                </c:pt>
                <c:pt idx="56">
                  <c:v>300kW, low lease, no expot. 12p, low£</c:v>
                </c:pt>
                <c:pt idx="57">
                  <c:v>300kW, low lease, no expot. 12p, low£</c:v>
                </c:pt>
                <c:pt idx="58">
                  <c:v>300kW, low lease, no expot. 9p, mid£, grid+</c:v>
                </c:pt>
                <c:pt idx="59">
                  <c:v>300kW, low lease, no expot. 9p, high£, grid+</c:v>
                </c:pt>
                <c:pt idx="60">
                  <c:v>300kW, low lease, no expot. 10p, mid£, grid+</c:v>
                </c:pt>
                <c:pt idx="61">
                  <c:v>300kW, low lease, no expot. 10p, high£, grid+</c:v>
                </c:pt>
                <c:pt idx="62">
                  <c:v>300kW, low lease, no expot. 12p, mid£, grid+</c:v>
                </c:pt>
                <c:pt idx="63">
                  <c:v>300kW, low lease, no expot. 12p, high£, grid+</c:v>
                </c:pt>
                <c:pt idx="65">
                  <c:v>300kW, high lease, no export. 9p, low£</c:v>
                </c:pt>
                <c:pt idx="66">
                  <c:v>300kW, high lease, no export. 9p, low£</c:v>
                </c:pt>
                <c:pt idx="67">
                  <c:v>300kW, high lease, no export. 10p, low£</c:v>
                </c:pt>
                <c:pt idx="68">
                  <c:v>300kW, high lease, no export. 10p, high£</c:v>
                </c:pt>
                <c:pt idx="69">
                  <c:v>300kW, high lease, no export. 12p, low£</c:v>
                </c:pt>
                <c:pt idx="70">
                  <c:v>300kW, high lease, no export. 12p, low£</c:v>
                </c:pt>
                <c:pt idx="71">
                  <c:v>300kW, high lease, no export. 9p, mid£, grid+</c:v>
                </c:pt>
                <c:pt idx="72">
                  <c:v>300kW, high lease, no export. 9p, high£, grid+</c:v>
                </c:pt>
                <c:pt idx="73">
                  <c:v>300kW, high lease, no export. 10p, mid£, grid+</c:v>
                </c:pt>
                <c:pt idx="74">
                  <c:v>300kW, high lease, no export. 10p, high£, grid+</c:v>
                </c:pt>
                <c:pt idx="75">
                  <c:v>300kW, high lease, no export. 12p, mid£, grid+</c:v>
                </c:pt>
                <c:pt idx="76">
                  <c:v>300kW, high lease, no export. 12p, high£, grid+</c:v>
                </c:pt>
                <c:pt idx="78">
                  <c:v>500kW, low lease, no grant. 9p, low£</c:v>
                </c:pt>
                <c:pt idx="79">
                  <c:v>500kW, low lease, no grant. 9p, low£</c:v>
                </c:pt>
                <c:pt idx="80">
                  <c:v>500kW, low lease, no grant. 10p, low£</c:v>
                </c:pt>
                <c:pt idx="81">
                  <c:v>500kW, low lease, no grant. 10p, high£</c:v>
                </c:pt>
                <c:pt idx="82">
                  <c:v>500kW, low lease, no grant. 12p, low£</c:v>
                </c:pt>
                <c:pt idx="83">
                  <c:v>500kW, low lease, no grant. 12p, low£</c:v>
                </c:pt>
                <c:pt idx="84">
                  <c:v>500kW, low lease, no grant. 9p, mid£, grid+</c:v>
                </c:pt>
                <c:pt idx="85">
                  <c:v>500kW, low lease, no grant. 9p, high£, grid+</c:v>
                </c:pt>
                <c:pt idx="86">
                  <c:v>500kW, low lease, no grant. 10p, mid£, grid+</c:v>
                </c:pt>
                <c:pt idx="87">
                  <c:v>500kW, low lease, no grant. 10p, high£, grid+</c:v>
                </c:pt>
                <c:pt idx="88">
                  <c:v>500kW, low lease, no grant. 12p, mid£, grid+</c:v>
                </c:pt>
                <c:pt idx="89">
                  <c:v>500kW, low lease, no grant. 12p, high£, grid+</c:v>
                </c:pt>
              </c:strCache>
            </c:strRef>
          </c:cat>
          <c:val>
            <c:numRef>
              <c:f>'Model Results - tables (draft)'!$U$5:$U$94</c:f>
              <c:numCache>
                <c:formatCode>0.0%</c:formatCode>
                <c:ptCount val="90"/>
                <c:pt idx="0">
                  <c:v>0.10421577066165688</c:v>
                </c:pt>
                <c:pt idx="1">
                  <c:v>7.3542799906212597E-2</c:v>
                </c:pt>
                <c:pt idx="2">
                  <c:v>0.11732487927659663</c:v>
                </c:pt>
                <c:pt idx="3">
                  <c:v>8.4677604136556006E-2</c:v>
                </c:pt>
                <c:pt idx="4">
                  <c:v>0.14241284338737725</c:v>
                </c:pt>
                <c:pt idx="5">
                  <c:v>0.10571528824654686</c:v>
                </c:pt>
                <c:pt idx="6">
                  <c:v>8.4025485777498687E-2</c:v>
                </c:pt>
                <c:pt idx="7">
                  <c:v>6.8523194054921577E-2</c:v>
                </c:pt>
                <c:pt idx="8">
                  <c:v>9.5802138076313659E-2</c:v>
                </c:pt>
                <c:pt idx="9">
                  <c:v>7.9362991353357781E-2</c:v>
                </c:pt>
                <c:pt idx="10">
                  <c:v>0.11815328287543192</c:v>
                </c:pt>
                <c:pt idx="11">
                  <c:v>9.9798363048144489E-2</c:v>
                </c:pt>
                <c:pt idx="13">
                  <c:v>9.8383297932486347E-2</c:v>
                </c:pt>
                <c:pt idx="14">
                  <c:v>6.8505837370568701E-2</c:v>
                </c:pt>
                <c:pt idx="15">
                  <c:v>0.11172254873909893</c:v>
                </c:pt>
                <c:pt idx="16">
                  <c:v>7.9883795955875581E-2</c:v>
                </c:pt>
                <c:pt idx="17">
                  <c:v>0.13713944514858034</c:v>
                </c:pt>
                <c:pt idx="18">
                  <c:v>0.10127776413836154</c:v>
                </c:pt>
                <c:pt idx="19">
                  <c:v>7.8729389422833584E-2</c:v>
                </c:pt>
                <c:pt idx="20">
                  <c:v>6.3605542199389742E-2</c:v>
                </c:pt>
                <c:pt idx="21">
                  <c:v>9.0745523011185547E-2</c:v>
                </c:pt>
                <c:pt idx="22">
                  <c:v>7.4689957790146533E-2</c:v>
                </c:pt>
                <c:pt idx="23">
                  <c:v>0.11344488998298297</c:v>
                </c:pt>
                <c:pt idx="24">
                  <c:v>9.5484962961220443E-2</c:v>
                </c:pt>
                <c:pt idx="26">
                  <c:v>0.10776306194774188</c:v>
                </c:pt>
                <c:pt idx="27">
                  <c:v>7.2468412261148085E-2</c:v>
                </c:pt>
                <c:pt idx="28">
                  <c:v>0.12277268369144378</c:v>
                </c:pt>
                <c:pt idx="29">
                  <c:v>8.4922732983285121E-2</c:v>
                </c:pt>
                <c:pt idx="30">
                  <c:v>0.15140380627329386</c:v>
                </c:pt>
                <c:pt idx="31">
                  <c:v>0.10829478519945224</c:v>
                </c:pt>
                <c:pt idx="32">
                  <c:v>7.9907833657751004E-2</c:v>
                </c:pt>
                <c:pt idx="33">
                  <c:v>6.3452205917385207E-2</c:v>
                </c:pt>
                <c:pt idx="34">
                  <c:v>9.2864982652564709E-2</c:v>
                </c:pt>
                <c:pt idx="35">
                  <c:v>7.5323387025580946E-2</c:v>
                </c:pt>
                <c:pt idx="36">
                  <c:v>0.11726810876737503</c:v>
                </c:pt>
                <c:pt idx="37">
                  <c:v>9.7502928617341889E-2</c:v>
                </c:pt>
                <c:pt idx="39">
                  <c:v>0.10107138064548304</c:v>
                </c:pt>
                <c:pt idx="40">
                  <c:v>6.6804018899395468E-2</c:v>
                </c:pt>
                <c:pt idx="41">
                  <c:v>0.11637277941678392</c:v>
                </c:pt>
                <c:pt idx="42">
                  <c:v>7.9569326882912073E-2</c:v>
                </c:pt>
                <c:pt idx="43">
                  <c:v>0.14540336331951909</c:v>
                </c:pt>
                <c:pt idx="44">
                  <c:v>0.10338084376102774</c:v>
                </c:pt>
                <c:pt idx="45">
                  <c:v>7.4040702924951463E-2</c:v>
                </c:pt>
                <c:pt idx="46">
                  <c:v>5.8023408912808438E-2</c:v>
                </c:pt>
                <c:pt idx="47">
                  <c:v>8.730571998752068E-2</c:v>
                </c:pt>
                <c:pt idx="48">
                  <c:v>7.0208662064404903E-2</c:v>
                </c:pt>
                <c:pt idx="49">
                  <c:v>0.11214138269452856</c:v>
                </c:pt>
                <c:pt idx="50">
                  <c:v>9.283487251490774E-2</c:v>
                </c:pt>
                <c:pt idx="52">
                  <c:v>0.11908814778935173</c:v>
                </c:pt>
                <c:pt idx="53">
                  <c:v>8.1878897408004914E-2</c:v>
                </c:pt>
                <c:pt idx="54">
                  <c:v>0.13730140799431356</c:v>
                </c:pt>
                <c:pt idx="55">
                  <c:v>9.6843177966092986E-2</c:v>
                </c:pt>
                <c:pt idx="56">
                  <c:v>0.17207048273216574</c:v>
                </c:pt>
                <c:pt idx="57">
                  <c:v>0.12488200682991413</c:v>
                </c:pt>
                <c:pt idx="58">
                  <c:v>8.9695210679356707E-2</c:v>
                </c:pt>
                <c:pt idx="59">
                  <c:v>7.2425488055223752E-2</c:v>
                </c:pt>
                <c:pt idx="60">
                  <c:v>0.10529731323664149</c:v>
                </c:pt>
                <c:pt idx="61">
                  <c:v>8.665133340690323E-2</c:v>
                </c:pt>
                <c:pt idx="62">
                  <c:v>0.13465301876000746</c:v>
                </c:pt>
                <c:pt idx="63">
                  <c:v>0.11316964881210101</c:v>
                </c:pt>
                <c:pt idx="65">
                  <c:v>0.11632718042324841</c:v>
                </c:pt>
                <c:pt idx="66">
                  <c:v>7.8710168792969437E-2</c:v>
                </c:pt>
                <c:pt idx="67">
                  <c:v>0.13519008438633562</c:v>
                </c:pt>
                <c:pt idx="68">
                  <c:v>9.4174355905222829E-2</c:v>
                </c:pt>
                <c:pt idx="69">
                  <c:v>0.17108001243158588</c:v>
                </c:pt>
                <c:pt idx="70">
                  <c:v>0.1230172273323451</c:v>
                </c:pt>
                <c:pt idx="71">
                  <c:v>9.7620151176513348E-2</c:v>
                </c:pt>
                <c:pt idx="72">
                  <c:v>7.7698950643226627E-2</c:v>
                </c:pt>
                <c:pt idx="73">
                  <c:v>0.11472112312324301</c:v>
                </c:pt>
                <c:pt idx="74">
                  <c:v>9.3079836943897876E-2</c:v>
                </c:pt>
                <c:pt idx="75">
                  <c:v>0.14695065758603576</c:v>
                </c:pt>
                <c:pt idx="76">
                  <c:v>0.12175086785703271</c:v>
                </c:pt>
                <c:pt idx="78">
                  <c:v>2.7860682236890311E-2</c:v>
                </c:pt>
                <c:pt idx="79">
                  <c:v>9.9751859692134293E-3</c:v>
                </c:pt>
                <c:pt idx="80">
                  <c:v>3.9098340970497025E-2</c:v>
                </c:pt>
                <c:pt idx="81">
                  <c:v>2.0237333529373513E-2</c:v>
                </c:pt>
                <c:pt idx="82">
                  <c:v>5.9530968582685695E-2</c:v>
                </c:pt>
                <c:pt idx="83">
                  <c:v>3.8716852783294176E-2</c:v>
                </c:pt>
                <c:pt idx="84">
                  <c:v>1.6318613832181139E-2</c:v>
                </c:pt>
                <c:pt idx="85">
                  <c:v>6.8514514747310962E-3</c:v>
                </c:pt>
                <c:pt idx="86">
                  <c:v>2.6912672519812553E-2</c:v>
                </c:pt>
                <c:pt idx="87">
                  <c:v>1.6955701726262706E-2</c:v>
                </c:pt>
                <c:pt idx="88">
                  <c:v>4.6054356400303309E-2</c:v>
                </c:pt>
                <c:pt idx="89">
                  <c:v>3.5121139224735476E-2</c:v>
                </c:pt>
              </c:numCache>
            </c:numRef>
          </c:val>
          <c:extLst>
            <c:ext xmlns:c16="http://schemas.microsoft.com/office/drawing/2014/chart" uri="{C3380CC4-5D6E-409C-BE32-E72D297353CC}">
              <c16:uniqueId val="{00000004-00F9-4075-BD17-94043A6332CD}"/>
            </c:ext>
          </c:extLst>
        </c:ser>
        <c:dLbls>
          <c:showLegendKey val="0"/>
          <c:showVal val="0"/>
          <c:showCatName val="0"/>
          <c:showSerName val="0"/>
          <c:showPercent val="0"/>
          <c:showBubbleSize val="0"/>
        </c:dLbls>
        <c:gapWidth val="0"/>
        <c:overlap val="100"/>
        <c:axId val="626680160"/>
        <c:axId val="626680488"/>
      </c:barChart>
      <c:catAx>
        <c:axId val="626680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6680488"/>
        <c:crosses val="autoZero"/>
        <c:auto val="0"/>
        <c:lblAlgn val="ctr"/>
        <c:lblOffset val="100"/>
        <c:noMultiLvlLbl val="0"/>
      </c:catAx>
      <c:valAx>
        <c:axId val="626680488"/>
        <c:scaling>
          <c:orientation val="minMax"/>
        </c:scaling>
        <c:delete val="0"/>
        <c:axPos val="b"/>
        <c:majorGridlines>
          <c:spPr>
            <a:ln w="9525" cap="flat" cmpd="sng" algn="ctr">
              <a:solidFill>
                <a:schemeClr val="tx1">
                  <a:lumMod val="15000"/>
                  <a:lumOff val="85000"/>
                </a:schemeClr>
              </a:solidFill>
              <a:round/>
            </a:ln>
            <a:effectLst/>
          </c:spPr>
        </c:maj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14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6680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paperSize="8"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r>
              <a:rPr lang="en-GB" sz="2000">
                <a:latin typeface="Poppins" panose="00000500000000000000" pitchFamily="2" charset="0"/>
                <a:cs typeface="Poppins" panose="00000500000000000000" pitchFamily="2" charset="0"/>
              </a:rPr>
              <a:t>IRR for undiscoutned cashflow </a:t>
            </a:r>
            <a:r>
              <a:rPr lang="en-GB" sz="2000" baseline="0">
                <a:latin typeface="Poppins" panose="00000500000000000000" pitchFamily="2" charset="0"/>
                <a:cs typeface="Poppins" panose="00000500000000000000" pitchFamily="2" charset="0"/>
              </a:rPr>
              <a:t>- sensitivity test</a:t>
            </a:r>
            <a:endParaRPr lang="en-GB" sz="2000">
              <a:latin typeface="Poppins" panose="00000500000000000000" pitchFamily="2" charset="0"/>
              <a:cs typeface="Poppins" panose="00000500000000000000" pitchFamily="2" charset="0"/>
            </a:endParaRP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title>
    <c:autoTitleDeleted val="0"/>
    <c:plotArea>
      <c:layout/>
      <c:barChart>
        <c:barDir val="bar"/>
        <c:grouping val="stacked"/>
        <c:varyColors val="0"/>
        <c:ser>
          <c:idx val="0"/>
          <c:order val="0"/>
          <c:tx>
            <c:strRef>
              <c:f>'Model Results - tables (draft)'!$U$4</c:f>
              <c:strCache>
                <c:ptCount val="1"/>
                <c:pt idx="0">
                  <c:v>(IRR)</c:v>
                </c:pt>
              </c:strCache>
            </c:strRef>
          </c:tx>
          <c:spPr>
            <a:solidFill>
              <a:schemeClr val="accent3"/>
            </a:solidFill>
            <a:ln>
              <a:solidFill>
                <a:schemeClr val="bg1"/>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'Model Results - tables (draft)'!$P$5:$P$94</c:f>
              <c:strCache>
                <c:ptCount val="90"/>
                <c:pt idx="0">
                  <c:v>500kW, low lease. 9p, low£</c:v>
                </c:pt>
                <c:pt idx="1">
                  <c:v>500kW, low lease. 9p, low£</c:v>
                </c:pt>
                <c:pt idx="2">
                  <c:v>500kW, low lease. 10p, low£</c:v>
                </c:pt>
                <c:pt idx="3">
                  <c:v>500kW, low lease. 10p, high£</c:v>
                </c:pt>
                <c:pt idx="4">
                  <c:v>500kW, low lease. 12p, low£</c:v>
                </c:pt>
                <c:pt idx="5">
                  <c:v>500kW, low lease. 12p, low£</c:v>
                </c:pt>
                <c:pt idx="6">
                  <c:v>500kW, low lease. 9p, mid£, grid+</c:v>
                </c:pt>
                <c:pt idx="7">
                  <c:v>500kW, low lease. 9p, high£, grid+</c:v>
                </c:pt>
                <c:pt idx="8">
                  <c:v>500kW, low lease. 10p, mid£, grid+</c:v>
                </c:pt>
                <c:pt idx="9">
                  <c:v>500kW, low lease. 10p, high£, grid+</c:v>
                </c:pt>
                <c:pt idx="10">
                  <c:v>500kW, low lease. 12p, mid£, grid+</c:v>
                </c:pt>
                <c:pt idx="11">
                  <c:v>500kW, low lease. 12p, high£, grid+</c:v>
                </c:pt>
                <c:pt idx="13">
                  <c:v>500kW, high lease. 9p, low£</c:v>
                </c:pt>
                <c:pt idx="14">
                  <c:v>500kW, high lease. 9p, low£</c:v>
                </c:pt>
                <c:pt idx="15">
                  <c:v>500kW, high lease. 10p, low£</c:v>
                </c:pt>
                <c:pt idx="16">
                  <c:v>500kW, high lease. 10p, high£</c:v>
                </c:pt>
                <c:pt idx="17">
                  <c:v>500kW, high lease. 12p, low£</c:v>
                </c:pt>
                <c:pt idx="18">
                  <c:v>500kW, high lease. 12p, low£</c:v>
                </c:pt>
                <c:pt idx="19">
                  <c:v>500kW, high lease. 9p, mid£, grid+</c:v>
                </c:pt>
                <c:pt idx="20">
                  <c:v>500kW, high lease. 9p, high£, grid+</c:v>
                </c:pt>
                <c:pt idx="21">
                  <c:v>500kW, high lease. 10p, mid£, grid+</c:v>
                </c:pt>
                <c:pt idx="22">
                  <c:v>500kW, high lease. 10p, high£, grid+</c:v>
                </c:pt>
                <c:pt idx="23">
                  <c:v>500kW, high lease. 12p, mid£, grid+</c:v>
                </c:pt>
                <c:pt idx="24">
                  <c:v>500kW, high lease. 12p, high£, grid+</c:v>
                </c:pt>
                <c:pt idx="26">
                  <c:v>300kW, low lease. 9p, low£</c:v>
                </c:pt>
                <c:pt idx="27">
                  <c:v>300kW, low lease. 9p, low£</c:v>
                </c:pt>
                <c:pt idx="28">
                  <c:v>300kW, low lease. 10p, low£</c:v>
                </c:pt>
                <c:pt idx="29">
                  <c:v>300kW, low lease. 10p, high£</c:v>
                </c:pt>
                <c:pt idx="30">
                  <c:v>300kW, low lease. 12p, low£</c:v>
                </c:pt>
                <c:pt idx="31">
                  <c:v>300kW, low lease. 12p, low£</c:v>
                </c:pt>
                <c:pt idx="32">
                  <c:v>300kW, low lease. 9p, mid£, grid+</c:v>
                </c:pt>
                <c:pt idx="33">
                  <c:v>300kW, low lease. 9p, high£, grid+</c:v>
                </c:pt>
                <c:pt idx="34">
                  <c:v>300kW, low lease. 10p, mid£, grid+</c:v>
                </c:pt>
                <c:pt idx="35">
                  <c:v>300kW, low lease. 10p, high£, grid+</c:v>
                </c:pt>
                <c:pt idx="36">
                  <c:v>300kW, low lease. 12p, mid£, grid+</c:v>
                </c:pt>
                <c:pt idx="37">
                  <c:v>300kW, low lease. 12p, high£, grid+</c:v>
                </c:pt>
                <c:pt idx="39">
                  <c:v>300kW, high lease. 9p, low£</c:v>
                </c:pt>
                <c:pt idx="40">
                  <c:v>300kW, high lease. 9p, low£</c:v>
                </c:pt>
                <c:pt idx="41">
                  <c:v>300kW, high lease. 10p, low£</c:v>
                </c:pt>
                <c:pt idx="42">
                  <c:v>300kW, high lease. 10p, high£</c:v>
                </c:pt>
                <c:pt idx="43">
                  <c:v>300kW, high lease. 12p, low£</c:v>
                </c:pt>
                <c:pt idx="44">
                  <c:v>300kW, high lease. 12p, low£</c:v>
                </c:pt>
                <c:pt idx="45">
                  <c:v>300kW, high lease. 9p, mid£, grid+</c:v>
                </c:pt>
                <c:pt idx="46">
                  <c:v>300kW, high lease. 9p, high£, grid+</c:v>
                </c:pt>
                <c:pt idx="47">
                  <c:v>300kW, high lease. 10p, mid£, grid+</c:v>
                </c:pt>
                <c:pt idx="48">
                  <c:v>300kW, high lease. 10p, high£, grid+</c:v>
                </c:pt>
                <c:pt idx="49">
                  <c:v>300kW, high lease. 12p, mid£, grid+</c:v>
                </c:pt>
                <c:pt idx="50">
                  <c:v>300kW, high lease. 12p, high£, grid+</c:v>
                </c:pt>
                <c:pt idx="52">
                  <c:v>300kW, low lease, no expot. 9p, low£</c:v>
                </c:pt>
                <c:pt idx="53">
                  <c:v>300kW, low lease, no expot. 9p, low£</c:v>
                </c:pt>
                <c:pt idx="54">
                  <c:v>300kW, low lease, no expot. 10p, low£</c:v>
                </c:pt>
                <c:pt idx="55">
                  <c:v>300kW, low lease, no expot. 10p, high£</c:v>
                </c:pt>
                <c:pt idx="56">
                  <c:v>300kW, low lease, no expot. 12p, low£</c:v>
                </c:pt>
                <c:pt idx="57">
                  <c:v>300kW, low lease, no expot. 12p, low£</c:v>
                </c:pt>
                <c:pt idx="58">
                  <c:v>300kW, low lease, no expot. 9p, mid£, grid+</c:v>
                </c:pt>
                <c:pt idx="59">
                  <c:v>300kW, low lease, no expot. 9p, high£, grid+</c:v>
                </c:pt>
                <c:pt idx="60">
                  <c:v>300kW, low lease, no expot. 10p, mid£, grid+</c:v>
                </c:pt>
                <c:pt idx="61">
                  <c:v>300kW, low lease, no expot. 10p, high£, grid+</c:v>
                </c:pt>
                <c:pt idx="62">
                  <c:v>300kW, low lease, no expot. 12p, mid£, grid+</c:v>
                </c:pt>
                <c:pt idx="63">
                  <c:v>300kW, low lease, no expot. 12p, high£, grid+</c:v>
                </c:pt>
                <c:pt idx="65">
                  <c:v>300kW, high lease, no export. 9p, low£</c:v>
                </c:pt>
                <c:pt idx="66">
                  <c:v>300kW, high lease, no export. 9p, low£</c:v>
                </c:pt>
                <c:pt idx="67">
                  <c:v>300kW, high lease, no export. 10p, low£</c:v>
                </c:pt>
                <c:pt idx="68">
                  <c:v>300kW, high lease, no export. 10p, high£</c:v>
                </c:pt>
                <c:pt idx="69">
                  <c:v>300kW, high lease, no export. 12p, low£</c:v>
                </c:pt>
                <c:pt idx="70">
                  <c:v>300kW, high lease, no export. 12p, low£</c:v>
                </c:pt>
                <c:pt idx="71">
                  <c:v>300kW, high lease, no export. 9p, mid£, grid+</c:v>
                </c:pt>
                <c:pt idx="72">
                  <c:v>300kW, high lease, no export. 9p, high£, grid+</c:v>
                </c:pt>
                <c:pt idx="73">
                  <c:v>300kW, high lease, no export. 10p, mid£, grid+</c:v>
                </c:pt>
                <c:pt idx="74">
                  <c:v>300kW, high lease, no export. 10p, high£, grid+</c:v>
                </c:pt>
                <c:pt idx="75">
                  <c:v>300kW, high lease, no export. 12p, mid£, grid+</c:v>
                </c:pt>
                <c:pt idx="76">
                  <c:v>300kW, high lease, no export. 12p, high£, grid+</c:v>
                </c:pt>
                <c:pt idx="78">
                  <c:v>500kW, low lease, no grant. 9p, low£</c:v>
                </c:pt>
                <c:pt idx="79">
                  <c:v>500kW, low lease, no grant. 9p, low£</c:v>
                </c:pt>
                <c:pt idx="80">
                  <c:v>500kW, low lease, no grant. 10p, low£</c:v>
                </c:pt>
                <c:pt idx="81">
                  <c:v>500kW, low lease, no grant. 10p, high£</c:v>
                </c:pt>
                <c:pt idx="82">
                  <c:v>500kW, low lease, no grant. 12p, low£</c:v>
                </c:pt>
                <c:pt idx="83">
                  <c:v>500kW, low lease, no grant. 12p, low£</c:v>
                </c:pt>
                <c:pt idx="84">
                  <c:v>500kW, low lease, no grant. 9p, mid£, grid+</c:v>
                </c:pt>
                <c:pt idx="85">
                  <c:v>500kW, low lease, no grant. 9p, high£, grid+</c:v>
                </c:pt>
                <c:pt idx="86">
                  <c:v>500kW, low lease, no grant. 10p, mid£, grid+</c:v>
                </c:pt>
                <c:pt idx="87">
                  <c:v>500kW, low lease, no grant. 10p, high£, grid+</c:v>
                </c:pt>
                <c:pt idx="88">
                  <c:v>500kW, low lease, no grant. 12p, mid£, grid+</c:v>
                </c:pt>
                <c:pt idx="89">
                  <c:v>500kW, low lease, no grant. 12p, high£, grid+</c:v>
                </c:pt>
              </c:strCache>
            </c:strRef>
          </c:cat>
          <c:val>
            <c:numRef>
              <c:f>'Model Results - tables (draft)'!$U$5:$U$94</c:f>
              <c:numCache>
                <c:formatCode>0.0%</c:formatCode>
                <c:ptCount val="90"/>
                <c:pt idx="0">
                  <c:v>0.10421577066165688</c:v>
                </c:pt>
                <c:pt idx="1">
                  <c:v>7.3542799906212597E-2</c:v>
                </c:pt>
                <c:pt idx="2">
                  <c:v>0.11732487927659663</c:v>
                </c:pt>
                <c:pt idx="3">
                  <c:v>8.4677604136556006E-2</c:v>
                </c:pt>
                <c:pt idx="4">
                  <c:v>0.14241284338737725</c:v>
                </c:pt>
                <c:pt idx="5">
                  <c:v>0.10571528824654686</c:v>
                </c:pt>
                <c:pt idx="6">
                  <c:v>8.4025485777498687E-2</c:v>
                </c:pt>
                <c:pt idx="7">
                  <c:v>6.8523194054921577E-2</c:v>
                </c:pt>
                <c:pt idx="8">
                  <c:v>9.5802138076313659E-2</c:v>
                </c:pt>
                <c:pt idx="9">
                  <c:v>7.9362991353357781E-2</c:v>
                </c:pt>
                <c:pt idx="10">
                  <c:v>0.11815328287543192</c:v>
                </c:pt>
                <c:pt idx="11">
                  <c:v>9.9798363048144489E-2</c:v>
                </c:pt>
                <c:pt idx="13">
                  <c:v>9.8383297932486347E-2</c:v>
                </c:pt>
                <c:pt idx="14">
                  <c:v>6.8505837370568701E-2</c:v>
                </c:pt>
                <c:pt idx="15">
                  <c:v>0.11172254873909893</c:v>
                </c:pt>
                <c:pt idx="16">
                  <c:v>7.9883795955875581E-2</c:v>
                </c:pt>
                <c:pt idx="17">
                  <c:v>0.13713944514858034</c:v>
                </c:pt>
                <c:pt idx="18">
                  <c:v>0.10127776413836154</c:v>
                </c:pt>
                <c:pt idx="19">
                  <c:v>7.8729389422833584E-2</c:v>
                </c:pt>
                <c:pt idx="20">
                  <c:v>6.3605542199389742E-2</c:v>
                </c:pt>
                <c:pt idx="21">
                  <c:v>9.0745523011185547E-2</c:v>
                </c:pt>
                <c:pt idx="22">
                  <c:v>7.4689957790146533E-2</c:v>
                </c:pt>
                <c:pt idx="23">
                  <c:v>0.11344488998298297</c:v>
                </c:pt>
                <c:pt idx="24">
                  <c:v>9.5484962961220443E-2</c:v>
                </c:pt>
                <c:pt idx="26">
                  <c:v>0.10776306194774188</c:v>
                </c:pt>
                <c:pt idx="27">
                  <c:v>7.2468412261148085E-2</c:v>
                </c:pt>
                <c:pt idx="28">
                  <c:v>0.12277268369144378</c:v>
                </c:pt>
                <c:pt idx="29">
                  <c:v>8.4922732983285121E-2</c:v>
                </c:pt>
                <c:pt idx="30">
                  <c:v>0.15140380627329386</c:v>
                </c:pt>
                <c:pt idx="31">
                  <c:v>0.10829478519945224</c:v>
                </c:pt>
                <c:pt idx="32">
                  <c:v>7.9907833657751004E-2</c:v>
                </c:pt>
                <c:pt idx="33">
                  <c:v>6.3452205917385207E-2</c:v>
                </c:pt>
                <c:pt idx="34">
                  <c:v>9.2864982652564709E-2</c:v>
                </c:pt>
                <c:pt idx="35">
                  <c:v>7.5323387025580946E-2</c:v>
                </c:pt>
                <c:pt idx="36">
                  <c:v>0.11726810876737503</c:v>
                </c:pt>
                <c:pt idx="37">
                  <c:v>9.7502928617341889E-2</c:v>
                </c:pt>
                <c:pt idx="39">
                  <c:v>0.10107138064548304</c:v>
                </c:pt>
                <c:pt idx="40">
                  <c:v>6.6804018899395468E-2</c:v>
                </c:pt>
                <c:pt idx="41">
                  <c:v>0.11637277941678392</c:v>
                </c:pt>
                <c:pt idx="42">
                  <c:v>7.9569326882912073E-2</c:v>
                </c:pt>
                <c:pt idx="43">
                  <c:v>0.14540336331951909</c:v>
                </c:pt>
                <c:pt idx="44">
                  <c:v>0.10338084376102774</c:v>
                </c:pt>
                <c:pt idx="45">
                  <c:v>7.4040702924951463E-2</c:v>
                </c:pt>
                <c:pt idx="46">
                  <c:v>5.8023408912808438E-2</c:v>
                </c:pt>
                <c:pt idx="47">
                  <c:v>8.730571998752068E-2</c:v>
                </c:pt>
                <c:pt idx="48">
                  <c:v>7.0208662064404903E-2</c:v>
                </c:pt>
                <c:pt idx="49">
                  <c:v>0.11214138269452856</c:v>
                </c:pt>
                <c:pt idx="50">
                  <c:v>9.283487251490774E-2</c:v>
                </c:pt>
                <c:pt idx="52">
                  <c:v>0.11908814778935173</c:v>
                </c:pt>
                <c:pt idx="53">
                  <c:v>8.1878897408004914E-2</c:v>
                </c:pt>
                <c:pt idx="54">
                  <c:v>0.13730140799431356</c:v>
                </c:pt>
                <c:pt idx="55">
                  <c:v>9.6843177966092986E-2</c:v>
                </c:pt>
                <c:pt idx="56">
                  <c:v>0.17207048273216574</c:v>
                </c:pt>
                <c:pt idx="57">
                  <c:v>0.12488200682991413</c:v>
                </c:pt>
                <c:pt idx="58">
                  <c:v>8.9695210679356707E-2</c:v>
                </c:pt>
                <c:pt idx="59">
                  <c:v>7.2425488055223752E-2</c:v>
                </c:pt>
                <c:pt idx="60">
                  <c:v>0.10529731323664149</c:v>
                </c:pt>
                <c:pt idx="61">
                  <c:v>8.665133340690323E-2</c:v>
                </c:pt>
                <c:pt idx="62">
                  <c:v>0.13465301876000746</c:v>
                </c:pt>
                <c:pt idx="63">
                  <c:v>0.11316964881210101</c:v>
                </c:pt>
                <c:pt idx="65">
                  <c:v>0.11632718042324841</c:v>
                </c:pt>
                <c:pt idx="66">
                  <c:v>7.8710168792969437E-2</c:v>
                </c:pt>
                <c:pt idx="67">
                  <c:v>0.13519008438633562</c:v>
                </c:pt>
                <c:pt idx="68">
                  <c:v>9.4174355905222829E-2</c:v>
                </c:pt>
                <c:pt idx="69">
                  <c:v>0.17108001243158588</c:v>
                </c:pt>
                <c:pt idx="70">
                  <c:v>0.1230172273323451</c:v>
                </c:pt>
                <c:pt idx="71">
                  <c:v>9.7620151176513348E-2</c:v>
                </c:pt>
                <c:pt idx="72">
                  <c:v>7.7698950643226627E-2</c:v>
                </c:pt>
                <c:pt idx="73">
                  <c:v>0.11472112312324301</c:v>
                </c:pt>
                <c:pt idx="74">
                  <c:v>9.3079836943897876E-2</c:v>
                </c:pt>
                <c:pt idx="75">
                  <c:v>0.14695065758603576</c:v>
                </c:pt>
                <c:pt idx="76">
                  <c:v>0.12175086785703271</c:v>
                </c:pt>
                <c:pt idx="78">
                  <c:v>2.7860682236890311E-2</c:v>
                </c:pt>
                <c:pt idx="79">
                  <c:v>9.9751859692134293E-3</c:v>
                </c:pt>
                <c:pt idx="80">
                  <c:v>3.9098340970497025E-2</c:v>
                </c:pt>
                <c:pt idx="81">
                  <c:v>2.0237333529373513E-2</c:v>
                </c:pt>
                <c:pt idx="82">
                  <c:v>5.9530968582685695E-2</c:v>
                </c:pt>
                <c:pt idx="83">
                  <c:v>3.8716852783294176E-2</c:v>
                </c:pt>
                <c:pt idx="84">
                  <c:v>1.6318613832181139E-2</c:v>
                </c:pt>
                <c:pt idx="85">
                  <c:v>6.8514514747310962E-3</c:v>
                </c:pt>
                <c:pt idx="86">
                  <c:v>2.6912672519812553E-2</c:v>
                </c:pt>
                <c:pt idx="87">
                  <c:v>1.6955701726262706E-2</c:v>
                </c:pt>
                <c:pt idx="88">
                  <c:v>4.6054356400303309E-2</c:v>
                </c:pt>
                <c:pt idx="89">
                  <c:v>3.5121139224735476E-2</c:v>
                </c:pt>
              </c:numCache>
            </c:numRef>
          </c:val>
          <c:extLst>
            <c:ext xmlns:c16="http://schemas.microsoft.com/office/drawing/2014/chart" uri="{C3380CC4-5D6E-409C-BE32-E72D297353CC}">
              <c16:uniqueId val="{00000000-FD00-4E1A-A270-54F796E3991B}"/>
            </c:ext>
          </c:extLst>
        </c:ser>
        <c:dLbls>
          <c:showLegendKey val="0"/>
          <c:showVal val="0"/>
          <c:showCatName val="0"/>
          <c:showSerName val="0"/>
          <c:showPercent val="0"/>
          <c:showBubbleSize val="0"/>
        </c:dLbls>
        <c:gapWidth val="0"/>
        <c:overlap val="100"/>
        <c:axId val="626680160"/>
        <c:axId val="626680488"/>
      </c:barChart>
      <c:catAx>
        <c:axId val="626680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6680488"/>
        <c:crosses val="autoZero"/>
        <c:auto val="0"/>
        <c:lblAlgn val="ctr"/>
        <c:lblOffset val="100"/>
        <c:noMultiLvlLbl val="0"/>
      </c:catAx>
      <c:valAx>
        <c:axId val="626680488"/>
        <c:scaling>
          <c:orientation val="minMax"/>
          <c:max val="0.30000000000000004"/>
        </c:scaling>
        <c:delete val="0"/>
        <c:axPos val="b"/>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6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crossAx val="6266801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Poppins" panose="00000500000000000000" pitchFamily="2"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sz="1800" b="0" i="0" baseline="0">
                <a:effectLst/>
              </a:rPr>
              <a:t>IRR for undiscoutned cashflow - sensitivity test</a:t>
            </a:r>
            <a:endParaRPr lang="en-GB">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manualLayout>
          <c:layoutTarget val="inner"/>
          <c:xMode val="edge"/>
          <c:yMode val="edge"/>
          <c:x val="0.13551400197632876"/>
          <c:y val="0.12653044658077534"/>
          <c:w val="0.74032917946585464"/>
          <c:h val="0.64001948210081983"/>
        </c:manualLayout>
      </c:layout>
      <c:radarChart>
        <c:radarStyle val="marker"/>
        <c:varyColors val="0"/>
        <c:ser>
          <c:idx val="0"/>
          <c:order val="0"/>
          <c:tx>
            <c:strRef>
              <c:f>'Model Results - tables (draft)'!$A$5</c:f>
              <c:strCache>
                <c:ptCount val="1"/>
                <c:pt idx="0">
                  <c:v>500kW, low lease</c:v>
                </c:pt>
              </c:strCache>
            </c:strRef>
          </c:tx>
          <c:spPr>
            <a:ln w="28575" cap="rnd">
              <a:solidFill>
                <a:schemeClr val="accent1"/>
              </a:solidFill>
              <a:round/>
            </a:ln>
            <a:effectLst/>
          </c:spPr>
          <c:marker>
            <c:symbol val="none"/>
          </c:marker>
          <c:cat>
            <c:strRef>
              <c:f>'Model Results - tables (draft)'!$B$5:$B$16</c:f>
              <c:strCache>
                <c:ptCount val="12"/>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strCache>
            </c:strRef>
          </c:cat>
          <c:val>
            <c:numRef>
              <c:f>'Model Results - tables (draft)'!$E$5:$E$16</c:f>
              <c:numCache>
                <c:formatCode>0.0%</c:formatCode>
                <c:ptCount val="12"/>
                <c:pt idx="0">
                  <c:v>0.10421577066165688</c:v>
                </c:pt>
                <c:pt idx="1">
                  <c:v>7.3542799906212597E-2</c:v>
                </c:pt>
                <c:pt idx="2">
                  <c:v>0.11732487927659663</c:v>
                </c:pt>
                <c:pt idx="3">
                  <c:v>8.4677604136556006E-2</c:v>
                </c:pt>
                <c:pt idx="4">
                  <c:v>0.14241284338737725</c:v>
                </c:pt>
                <c:pt idx="5">
                  <c:v>0.10571528824654686</c:v>
                </c:pt>
                <c:pt idx="6">
                  <c:v>8.4025485777498687E-2</c:v>
                </c:pt>
                <c:pt idx="7">
                  <c:v>6.8523194054921577E-2</c:v>
                </c:pt>
                <c:pt idx="8">
                  <c:v>9.5802138076313659E-2</c:v>
                </c:pt>
                <c:pt idx="9">
                  <c:v>7.9362991353357781E-2</c:v>
                </c:pt>
                <c:pt idx="10">
                  <c:v>0.11815328287543192</c:v>
                </c:pt>
                <c:pt idx="11">
                  <c:v>9.9798363048144489E-2</c:v>
                </c:pt>
              </c:numCache>
            </c:numRef>
          </c:val>
          <c:extLst>
            <c:ext xmlns:c16="http://schemas.microsoft.com/office/drawing/2014/chart" uri="{C3380CC4-5D6E-409C-BE32-E72D297353CC}">
              <c16:uniqueId val="{00000000-4740-4541-A4AA-3BA2E322F9DC}"/>
            </c:ext>
          </c:extLst>
        </c:ser>
        <c:ser>
          <c:idx val="1"/>
          <c:order val="1"/>
          <c:tx>
            <c:strRef>
              <c:f>'Model Results - tables (draft)'!$A$17</c:f>
              <c:strCache>
                <c:ptCount val="1"/>
                <c:pt idx="0">
                  <c:v>500kW, high lease</c:v>
                </c:pt>
              </c:strCache>
            </c:strRef>
          </c:tx>
          <c:spPr>
            <a:ln w="28575" cap="rnd">
              <a:solidFill>
                <a:schemeClr val="accent2"/>
              </a:solidFill>
              <a:round/>
            </a:ln>
            <a:effectLst/>
          </c:spPr>
          <c:marker>
            <c:symbol val="none"/>
          </c:marker>
          <c:cat>
            <c:strRef>
              <c:f>'Model Results - tables (draft)'!$B$5:$B$16</c:f>
              <c:strCache>
                <c:ptCount val="12"/>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strCache>
            </c:strRef>
          </c:cat>
          <c:val>
            <c:numRef>
              <c:f>'Model Results - tables (draft)'!$E$17:$E$28</c:f>
              <c:numCache>
                <c:formatCode>0.0%</c:formatCode>
                <c:ptCount val="12"/>
                <c:pt idx="0">
                  <c:v>9.8383297932486347E-2</c:v>
                </c:pt>
                <c:pt idx="1">
                  <c:v>6.8505837370568701E-2</c:v>
                </c:pt>
                <c:pt idx="2">
                  <c:v>0.11172254873909893</c:v>
                </c:pt>
                <c:pt idx="3">
                  <c:v>7.9883795955875581E-2</c:v>
                </c:pt>
                <c:pt idx="4">
                  <c:v>0.13713944514858034</c:v>
                </c:pt>
                <c:pt idx="5">
                  <c:v>0.10127776413836154</c:v>
                </c:pt>
                <c:pt idx="6">
                  <c:v>7.8729389422833584E-2</c:v>
                </c:pt>
                <c:pt idx="7">
                  <c:v>6.3605542199389742E-2</c:v>
                </c:pt>
                <c:pt idx="8">
                  <c:v>9.0745523011185547E-2</c:v>
                </c:pt>
                <c:pt idx="9">
                  <c:v>7.4689957790146533E-2</c:v>
                </c:pt>
                <c:pt idx="10">
                  <c:v>0.11344488998298297</c:v>
                </c:pt>
                <c:pt idx="11">
                  <c:v>9.5484962961220443E-2</c:v>
                </c:pt>
              </c:numCache>
            </c:numRef>
          </c:val>
          <c:extLst>
            <c:ext xmlns:c16="http://schemas.microsoft.com/office/drawing/2014/chart" uri="{C3380CC4-5D6E-409C-BE32-E72D297353CC}">
              <c16:uniqueId val="{00000001-4740-4541-A4AA-3BA2E322F9DC}"/>
            </c:ext>
          </c:extLst>
        </c:ser>
        <c:ser>
          <c:idx val="2"/>
          <c:order val="2"/>
          <c:tx>
            <c:strRef>
              <c:f>'Model Results - tables (draft)'!$A$29</c:f>
              <c:strCache>
                <c:ptCount val="1"/>
                <c:pt idx="0">
                  <c:v>300kW, low lease</c:v>
                </c:pt>
              </c:strCache>
            </c:strRef>
          </c:tx>
          <c:spPr>
            <a:ln w="28575" cap="rnd">
              <a:solidFill>
                <a:schemeClr val="accent3"/>
              </a:solidFill>
              <a:round/>
            </a:ln>
            <a:effectLst/>
          </c:spPr>
          <c:marker>
            <c:symbol val="none"/>
          </c:marker>
          <c:cat>
            <c:strRef>
              <c:f>'Model Results - tables (draft)'!$B$5:$B$16</c:f>
              <c:strCache>
                <c:ptCount val="12"/>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strCache>
            </c:strRef>
          </c:cat>
          <c:val>
            <c:numRef>
              <c:f>'Model Results - tables (draft)'!$E$29:$E$40</c:f>
              <c:numCache>
                <c:formatCode>0.0%</c:formatCode>
                <c:ptCount val="12"/>
                <c:pt idx="0">
                  <c:v>0.10776306194774188</c:v>
                </c:pt>
                <c:pt idx="1">
                  <c:v>7.2468412261148085E-2</c:v>
                </c:pt>
                <c:pt idx="2">
                  <c:v>0.12277268369144378</c:v>
                </c:pt>
                <c:pt idx="3">
                  <c:v>8.4922732983285121E-2</c:v>
                </c:pt>
                <c:pt idx="4">
                  <c:v>0.15140380627329386</c:v>
                </c:pt>
                <c:pt idx="5">
                  <c:v>0.10829478519945224</c:v>
                </c:pt>
                <c:pt idx="6">
                  <c:v>7.9907833657751004E-2</c:v>
                </c:pt>
                <c:pt idx="7">
                  <c:v>6.3452205917385207E-2</c:v>
                </c:pt>
                <c:pt idx="8">
                  <c:v>9.2864982652564709E-2</c:v>
                </c:pt>
                <c:pt idx="9">
                  <c:v>7.5323387025580946E-2</c:v>
                </c:pt>
                <c:pt idx="10">
                  <c:v>0.11726810876737503</c:v>
                </c:pt>
                <c:pt idx="11">
                  <c:v>9.7502928617341889E-2</c:v>
                </c:pt>
              </c:numCache>
            </c:numRef>
          </c:val>
          <c:extLst>
            <c:ext xmlns:c16="http://schemas.microsoft.com/office/drawing/2014/chart" uri="{C3380CC4-5D6E-409C-BE32-E72D297353CC}">
              <c16:uniqueId val="{00000002-4740-4541-A4AA-3BA2E322F9DC}"/>
            </c:ext>
          </c:extLst>
        </c:ser>
        <c:ser>
          <c:idx val="3"/>
          <c:order val="3"/>
          <c:tx>
            <c:strRef>
              <c:f>'Model Results - tables (draft)'!$A$41</c:f>
              <c:strCache>
                <c:ptCount val="1"/>
                <c:pt idx="0">
                  <c:v>300kW, high lease</c:v>
                </c:pt>
              </c:strCache>
            </c:strRef>
          </c:tx>
          <c:spPr>
            <a:ln w="28575" cap="rnd">
              <a:solidFill>
                <a:schemeClr val="accent4"/>
              </a:solidFill>
              <a:round/>
            </a:ln>
            <a:effectLst/>
          </c:spPr>
          <c:marker>
            <c:symbol val="none"/>
          </c:marker>
          <c:cat>
            <c:strRef>
              <c:f>'Model Results - tables (draft)'!$B$5:$B$16</c:f>
              <c:strCache>
                <c:ptCount val="12"/>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strCache>
            </c:strRef>
          </c:cat>
          <c:val>
            <c:numRef>
              <c:f>'Model Results - tables (draft)'!$E$41:$E$52</c:f>
              <c:numCache>
                <c:formatCode>0.0%</c:formatCode>
                <c:ptCount val="12"/>
                <c:pt idx="0">
                  <c:v>0.10107138064548304</c:v>
                </c:pt>
                <c:pt idx="1">
                  <c:v>6.6804018899395468E-2</c:v>
                </c:pt>
                <c:pt idx="2">
                  <c:v>0.11637277941678392</c:v>
                </c:pt>
                <c:pt idx="3">
                  <c:v>7.9569326882912073E-2</c:v>
                </c:pt>
                <c:pt idx="4">
                  <c:v>0.14540336331951909</c:v>
                </c:pt>
                <c:pt idx="5">
                  <c:v>0.10338084376102774</c:v>
                </c:pt>
                <c:pt idx="6">
                  <c:v>7.4040702924951463E-2</c:v>
                </c:pt>
                <c:pt idx="7">
                  <c:v>5.8023408912808438E-2</c:v>
                </c:pt>
                <c:pt idx="8">
                  <c:v>8.730571998752068E-2</c:v>
                </c:pt>
                <c:pt idx="9">
                  <c:v>7.0208662064404903E-2</c:v>
                </c:pt>
                <c:pt idx="10">
                  <c:v>0.11214138269452856</c:v>
                </c:pt>
                <c:pt idx="11">
                  <c:v>9.283487251490774E-2</c:v>
                </c:pt>
              </c:numCache>
            </c:numRef>
          </c:val>
          <c:extLst>
            <c:ext xmlns:c16="http://schemas.microsoft.com/office/drawing/2014/chart" uri="{C3380CC4-5D6E-409C-BE32-E72D297353CC}">
              <c16:uniqueId val="{00000003-4740-4541-A4AA-3BA2E322F9DC}"/>
            </c:ext>
          </c:extLst>
        </c:ser>
        <c:ser>
          <c:idx val="4"/>
          <c:order val="4"/>
          <c:tx>
            <c:strRef>
              <c:f>'Model Results - tables (draft)'!$A$53</c:f>
              <c:strCache>
                <c:ptCount val="1"/>
                <c:pt idx="0">
                  <c:v>300kW, low lease, no expot</c:v>
                </c:pt>
              </c:strCache>
            </c:strRef>
          </c:tx>
          <c:spPr>
            <a:ln w="28575" cap="rnd">
              <a:solidFill>
                <a:schemeClr val="accent5"/>
              </a:solidFill>
              <a:round/>
            </a:ln>
            <a:effectLst/>
          </c:spPr>
          <c:marker>
            <c:symbol val="none"/>
          </c:marker>
          <c:cat>
            <c:strRef>
              <c:f>'Model Results - tables (draft)'!$B$5:$B$16</c:f>
              <c:strCache>
                <c:ptCount val="12"/>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strCache>
            </c:strRef>
          </c:cat>
          <c:val>
            <c:numRef>
              <c:f>'Model Results - tables (draft)'!$E$53:$E$64</c:f>
              <c:numCache>
                <c:formatCode>0.0%</c:formatCode>
                <c:ptCount val="12"/>
                <c:pt idx="0">
                  <c:v>0.11908814778935173</c:v>
                </c:pt>
                <c:pt idx="1">
                  <c:v>8.1878897408004914E-2</c:v>
                </c:pt>
                <c:pt idx="2">
                  <c:v>0.13730140799431356</c:v>
                </c:pt>
                <c:pt idx="3">
                  <c:v>9.6843177966092986E-2</c:v>
                </c:pt>
                <c:pt idx="4">
                  <c:v>0.17207048273216574</c:v>
                </c:pt>
                <c:pt idx="5">
                  <c:v>0.12488200682991413</c:v>
                </c:pt>
                <c:pt idx="6">
                  <c:v>8.9695210679356707E-2</c:v>
                </c:pt>
                <c:pt idx="7">
                  <c:v>7.2425488055223752E-2</c:v>
                </c:pt>
                <c:pt idx="8">
                  <c:v>0.10529731323664149</c:v>
                </c:pt>
                <c:pt idx="9">
                  <c:v>8.665133340690323E-2</c:v>
                </c:pt>
                <c:pt idx="10">
                  <c:v>0.13465301876000746</c:v>
                </c:pt>
                <c:pt idx="11">
                  <c:v>0.11316964881210101</c:v>
                </c:pt>
              </c:numCache>
            </c:numRef>
          </c:val>
          <c:extLst>
            <c:ext xmlns:c16="http://schemas.microsoft.com/office/drawing/2014/chart" uri="{C3380CC4-5D6E-409C-BE32-E72D297353CC}">
              <c16:uniqueId val="{00000004-4740-4541-A4AA-3BA2E322F9DC}"/>
            </c:ext>
          </c:extLst>
        </c:ser>
        <c:ser>
          <c:idx val="5"/>
          <c:order val="5"/>
          <c:tx>
            <c:strRef>
              <c:f>'Model Results - tables (draft)'!$A$65</c:f>
              <c:strCache>
                <c:ptCount val="1"/>
                <c:pt idx="0">
                  <c:v>300kW, high lease, no export</c:v>
                </c:pt>
              </c:strCache>
            </c:strRef>
          </c:tx>
          <c:spPr>
            <a:ln w="28575" cap="rnd">
              <a:solidFill>
                <a:schemeClr val="accent6"/>
              </a:solidFill>
              <a:round/>
            </a:ln>
            <a:effectLst/>
          </c:spPr>
          <c:marker>
            <c:symbol val="none"/>
          </c:marker>
          <c:val>
            <c:numRef>
              <c:f>'Model Results - tables (draft)'!$D$65:$D$76</c:f>
              <c:numCache>
                <c:formatCode>_-"£"* #,##0_-;\-"£"* #,##0_-;_-"£"*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5-4740-4541-A4AA-3BA2E322F9DC}"/>
            </c:ext>
          </c:extLst>
        </c:ser>
        <c:ser>
          <c:idx val="6"/>
          <c:order val="6"/>
          <c:tx>
            <c:strRef>
              <c:f>'Model Results - tables (draft)'!$A$77</c:f>
              <c:strCache>
                <c:ptCount val="1"/>
                <c:pt idx="0">
                  <c:v>500kW, low lease, no grant</c:v>
                </c:pt>
              </c:strCache>
            </c:strRef>
          </c:tx>
          <c:spPr>
            <a:ln w="28575" cap="rnd">
              <a:solidFill>
                <a:schemeClr val="accent1">
                  <a:lumMod val="60000"/>
                </a:schemeClr>
              </a:solidFill>
              <a:round/>
            </a:ln>
            <a:effectLst/>
          </c:spPr>
          <c:marker>
            <c:symbol val="none"/>
          </c:marker>
          <c:val>
            <c:numRef>
              <c:f>'Model Results - tables (draft)'!$E$77:$E$88</c:f>
              <c:numCache>
                <c:formatCode>0.0%</c:formatCode>
                <c:ptCount val="12"/>
                <c:pt idx="0">
                  <c:v>2.7860682236890311E-2</c:v>
                </c:pt>
                <c:pt idx="1">
                  <c:v>9.9751859692134293E-3</c:v>
                </c:pt>
                <c:pt idx="2">
                  <c:v>3.9098340970497025E-2</c:v>
                </c:pt>
                <c:pt idx="3">
                  <c:v>2.0237333529373513E-2</c:v>
                </c:pt>
                <c:pt idx="4">
                  <c:v>5.9530968582685695E-2</c:v>
                </c:pt>
                <c:pt idx="5">
                  <c:v>3.8716852783294176E-2</c:v>
                </c:pt>
                <c:pt idx="6">
                  <c:v>1.6318613832181139E-2</c:v>
                </c:pt>
                <c:pt idx="7">
                  <c:v>6.8514514747310962E-3</c:v>
                </c:pt>
                <c:pt idx="8">
                  <c:v>2.6912672519812553E-2</c:v>
                </c:pt>
                <c:pt idx="9">
                  <c:v>1.6955701726262706E-2</c:v>
                </c:pt>
                <c:pt idx="10">
                  <c:v>4.6054356400303309E-2</c:v>
                </c:pt>
                <c:pt idx="11">
                  <c:v>3.5121139224735476E-2</c:v>
                </c:pt>
              </c:numCache>
            </c:numRef>
          </c:val>
          <c:extLst>
            <c:ext xmlns:c16="http://schemas.microsoft.com/office/drawing/2014/chart" uri="{C3380CC4-5D6E-409C-BE32-E72D297353CC}">
              <c16:uniqueId val="{00000006-4740-4541-A4AA-3BA2E322F9DC}"/>
            </c:ext>
          </c:extLst>
        </c:ser>
        <c:ser>
          <c:idx val="7"/>
          <c:order val="7"/>
          <c:tx>
            <c:strRef>
              <c:f>'Model Results - tables (draft)'!$A$89</c:f>
              <c:strCache>
                <c:ptCount val="1"/>
                <c:pt idx="0">
                  <c:v>0</c:v>
                </c:pt>
              </c:strCache>
            </c:strRef>
          </c:tx>
          <c:spPr>
            <a:ln w="28575" cap="rnd">
              <a:solidFill>
                <a:schemeClr val="accent2">
                  <a:lumMod val="60000"/>
                </a:schemeClr>
              </a:solidFill>
              <a:round/>
            </a:ln>
            <a:effectLst/>
          </c:spPr>
          <c:marker>
            <c:symbol val="none"/>
          </c:marker>
          <c:val>
            <c:numRef>
              <c:f>'Model Results - tables (draft)'!$E$89:$E$100</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7-4740-4541-A4AA-3BA2E322F9DC}"/>
            </c:ext>
          </c:extLst>
        </c:ser>
        <c:ser>
          <c:idx val="8"/>
          <c:order val="8"/>
          <c:tx>
            <c:strRef>
              <c:f>'Model Results - tables (draft)'!$A$101</c:f>
              <c:strCache>
                <c:ptCount val="1"/>
                <c:pt idx="0">
                  <c:v>0</c:v>
                </c:pt>
              </c:strCache>
            </c:strRef>
          </c:tx>
          <c:spPr>
            <a:ln w="28575" cap="rnd">
              <a:solidFill>
                <a:schemeClr val="accent3">
                  <a:lumMod val="60000"/>
                </a:schemeClr>
              </a:solidFill>
              <a:round/>
            </a:ln>
            <a:effectLst/>
          </c:spPr>
          <c:marker>
            <c:symbol val="none"/>
          </c:marker>
          <c:val>
            <c:numRef>
              <c:f>'Model Results - tables (draft)'!$E$101:$E$112</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8-4740-4541-A4AA-3BA2E322F9DC}"/>
            </c:ext>
          </c:extLst>
        </c:ser>
        <c:ser>
          <c:idx val="9"/>
          <c:order val="9"/>
          <c:tx>
            <c:strRef>
              <c:f>'Model Results - tables (draft)'!$A$113</c:f>
              <c:strCache>
                <c:ptCount val="1"/>
                <c:pt idx="0">
                  <c:v>0</c:v>
                </c:pt>
              </c:strCache>
            </c:strRef>
          </c:tx>
          <c:spPr>
            <a:ln w="28575" cap="rnd">
              <a:solidFill>
                <a:schemeClr val="accent4">
                  <a:lumMod val="60000"/>
                </a:schemeClr>
              </a:solidFill>
              <a:round/>
            </a:ln>
            <a:effectLst/>
          </c:spPr>
          <c:marker>
            <c:symbol val="none"/>
          </c:marker>
          <c:val>
            <c:numRef>
              <c:f>'Model Results - tables (draft)'!$E$113:$E$124</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9-4740-4541-A4AA-3BA2E322F9DC}"/>
            </c:ext>
          </c:extLst>
        </c:ser>
        <c:dLbls>
          <c:showLegendKey val="0"/>
          <c:showVal val="0"/>
          <c:showCatName val="0"/>
          <c:showSerName val="0"/>
          <c:showPercent val="0"/>
          <c:showBubbleSize val="0"/>
        </c:dLbls>
        <c:axId val="603312544"/>
        <c:axId val="603301392"/>
      </c:radarChart>
      <c:catAx>
        <c:axId val="603312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603301392"/>
        <c:crosses val="autoZero"/>
        <c:auto val="1"/>
        <c:lblAlgn val="ctr"/>
        <c:lblOffset val="100"/>
        <c:noMultiLvlLbl val="0"/>
      </c:catAx>
      <c:valAx>
        <c:axId val="603301392"/>
        <c:scaling>
          <c:orientation val="minMax"/>
          <c:max val="0.1500000000000000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603312544"/>
        <c:crosses val="autoZero"/>
        <c:crossBetween val="between"/>
      </c:valAx>
      <c:spPr>
        <a:noFill/>
        <a:ln>
          <a:noFill/>
        </a:ln>
        <a:effectLst/>
      </c:spPr>
    </c:plotArea>
    <c:legend>
      <c:legendPos val="b"/>
      <c:layout>
        <c:manualLayout>
          <c:xMode val="edge"/>
          <c:yMode val="edge"/>
          <c:x val="0.1315275411697899"/>
          <c:y val="0.91407186573838628"/>
          <c:w val="0.73694491766042025"/>
          <c:h val="8.5928134261613734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Poppins" panose="00000500000000000000" pitchFamily="2" charset="0"/>
              </a:defRPr>
            </a:pPr>
            <a:r>
              <a:rPr lang="en-GB" sz="1400">
                <a:latin typeface="Century Gothic" panose="020B0502020202020204" pitchFamily="34" charset="0"/>
                <a:cs typeface="Poppins" panose="00000500000000000000" pitchFamily="2" charset="0"/>
              </a:rPr>
              <a:t>Revenue</a:t>
            </a:r>
            <a:r>
              <a:rPr lang="en-GB" sz="1400" baseline="0">
                <a:latin typeface="Century Gothic" panose="020B0502020202020204" pitchFamily="34" charset="0"/>
                <a:cs typeface="Poppins" panose="00000500000000000000" pitchFamily="2" charset="0"/>
              </a:rPr>
              <a:t> distribution by scenario</a:t>
            </a:r>
            <a:endParaRPr lang="en-GB" sz="1400">
              <a:latin typeface="Century Gothic" panose="020B0502020202020204" pitchFamily="34" charset="0"/>
              <a:cs typeface="Poppins" panose="00000500000000000000" pitchFamily="2" charset="0"/>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Century Gothic" panose="020B0502020202020204" pitchFamily="34" charset="0"/>
              <a:ea typeface="+mn-ea"/>
              <a:cs typeface="Poppins" panose="00000500000000000000" pitchFamily="2" charset="0"/>
            </a:defRPr>
          </a:pPr>
          <a:endParaRPr lang="en-US"/>
        </a:p>
      </c:txPr>
    </c:title>
    <c:autoTitleDeleted val="0"/>
    <c:plotArea>
      <c:layout>
        <c:manualLayout>
          <c:layoutTarget val="inner"/>
          <c:xMode val="edge"/>
          <c:yMode val="edge"/>
          <c:x val="6.8459915611814345E-2"/>
          <c:y val="5.7836840224396259E-2"/>
          <c:w val="0.86360759493670891"/>
          <c:h val="0.8205513489918238"/>
        </c:manualLayout>
      </c:layout>
      <c:barChart>
        <c:barDir val="bar"/>
        <c:grouping val="stacked"/>
        <c:varyColors val="0"/>
        <c:ser>
          <c:idx val="0"/>
          <c:order val="0"/>
          <c:tx>
            <c:strRef>
              <c:f>'Model Results - tables (draft)'!$AA$4</c:f>
              <c:strCache>
                <c:ptCount val="1"/>
                <c:pt idx="0">
                  <c:v>500kW, 
£500/acre</c:v>
                </c:pt>
              </c:strCache>
            </c:strRef>
          </c:tx>
          <c:spPr>
            <a:solidFill>
              <a:srgbClr val="FFC000"/>
            </a:solidFill>
            <a:ln>
              <a:solidFill>
                <a:schemeClr val="bg1"/>
              </a:solidFill>
            </a:ln>
            <a:effectLst/>
          </c:spPr>
          <c:invertIfNegative val="0"/>
          <c:cat>
            <c:strRef>
              <c:f>'Model Results - tables (draft)'!$Z$5:$Z$88</c:f>
              <c:strCache>
                <c:ptCount val="84"/>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pt idx="12">
                  <c:v> 9p, low£ </c:v>
                </c:pt>
                <c:pt idx="13">
                  <c:v> 9p, low£ </c:v>
                </c:pt>
                <c:pt idx="14">
                  <c:v> 10p, low£ </c:v>
                </c:pt>
                <c:pt idx="15">
                  <c:v> 10p, high£ </c:v>
                </c:pt>
                <c:pt idx="16">
                  <c:v> 12p, low£ </c:v>
                </c:pt>
                <c:pt idx="17">
                  <c:v> 12p, low£ </c:v>
                </c:pt>
                <c:pt idx="18">
                  <c:v> 9p, mid£, grid+ </c:v>
                </c:pt>
                <c:pt idx="19">
                  <c:v> 9p, high£, grid+ </c:v>
                </c:pt>
                <c:pt idx="20">
                  <c:v> 10p, mid£, grid+ </c:v>
                </c:pt>
                <c:pt idx="21">
                  <c:v> 10p, high£, grid+ </c:v>
                </c:pt>
                <c:pt idx="22">
                  <c:v> 12p, mid£, grid+ </c:v>
                </c:pt>
                <c:pt idx="23">
                  <c:v> 12p, high£, grid+ </c:v>
                </c:pt>
                <c:pt idx="24">
                  <c:v> 9p, low£ </c:v>
                </c:pt>
                <c:pt idx="25">
                  <c:v> 9p, low£ </c:v>
                </c:pt>
                <c:pt idx="26">
                  <c:v> 10p, low£ </c:v>
                </c:pt>
                <c:pt idx="27">
                  <c:v> 10p, high£ </c:v>
                </c:pt>
                <c:pt idx="28">
                  <c:v> 12p, low£ </c:v>
                </c:pt>
                <c:pt idx="29">
                  <c:v> 12p, low£ </c:v>
                </c:pt>
                <c:pt idx="30">
                  <c:v> 9p, mid£, grid+ </c:v>
                </c:pt>
                <c:pt idx="31">
                  <c:v> 9p, high£, grid+ </c:v>
                </c:pt>
                <c:pt idx="32">
                  <c:v> 10p, mid£, grid+ </c:v>
                </c:pt>
                <c:pt idx="33">
                  <c:v> 10p, high£, grid+ </c:v>
                </c:pt>
                <c:pt idx="34">
                  <c:v> 12p, mid£, grid+ </c:v>
                </c:pt>
                <c:pt idx="35">
                  <c:v> 12p, high£, grid+ </c:v>
                </c:pt>
                <c:pt idx="36">
                  <c:v> 9p, low£ </c:v>
                </c:pt>
                <c:pt idx="37">
                  <c:v> 9p, low£ </c:v>
                </c:pt>
                <c:pt idx="38">
                  <c:v> 10p, low£ </c:v>
                </c:pt>
                <c:pt idx="39">
                  <c:v> 10p, high£ </c:v>
                </c:pt>
                <c:pt idx="40">
                  <c:v> 12p, low£ </c:v>
                </c:pt>
                <c:pt idx="41">
                  <c:v> 12p, low£ </c:v>
                </c:pt>
                <c:pt idx="42">
                  <c:v> 9p, mid£, grid+ </c:v>
                </c:pt>
                <c:pt idx="43">
                  <c:v> 9p, high£, grid+ </c:v>
                </c:pt>
                <c:pt idx="44">
                  <c:v> 10p, mid£, grid+ </c:v>
                </c:pt>
                <c:pt idx="45">
                  <c:v> 10p, high£, grid+ </c:v>
                </c:pt>
                <c:pt idx="46">
                  <c:v> 12p, mid£, grid+ </c:v>
                </c:pt>
                <c:pt idx="47">
                  <c:v> 12p, high£, grid+ </c:v>
                </c:pt>
                <c:pt idx="48">
                  <c:v> 9p, low£ </c:v>
                </c:pt>
                <c:pt idx="49">
                  <c:v> 9p, low£ </c:v>
                </c:pt>
                <c:pt idx="50">
                  <c:v> 10p, low£ </c:v>
                </c:pt>
                <c:pt idx="51">
                  <c:v> 10p, high£ </c:v>
                </c:pt>
                <c:pt idx="52">
                  <c:v> 12p, low£ </c:v>
                </c:pt>
                <c:pt idx="53">
                  <c:v> 12p, low£ </c:v>
                </c:pt>
                <c:pt idx="54">
                  <c:v> 9p, mid£, grid+ </c:v>
                </c:pt>
                <c:pt idx="55">
                  <c:v> 9p, high£, grid+ </c:v>
                </c:pt>
                <c:pt idx="56">
                  <c:v> 10p, mid£, grid+ </c:v>
                </c:pt>
                <c:pt idx="57">
                  <c:v> 10p, high£, grid+ </c:v>
                </c:pt>
                <c:pt idx="58">
                  <c:v> 12p, mid£, grid+ </c:v>
                </c:pt>
                <c:pt idx="59">
                  <c:v> 12p, high£, grid+ </c:v>
                </c:pt>
                <c:pt idx="60">
                  <c:v> 9p, low£ </c:v>
                </c:pt>
                <c:pt idx="61">
                  <c:v> 9p, low£ </c:v>
                </c:pt>
                <c:pt idx="62">
                  <c:v> 10p, low£ </c:v>
                </c:pt>
                <c:pt idx="63">
                  <c:v> 10p, high£ </c:v>
                </c:pt>
                <c:pt idx="64">
                  <c:v> 12p, low£ </c:v>
                </c:pt>
                <c:pt idx="65">
                  <c:v> 12p, low£ </c:v>
                </c:pt>
                <c:pt idx="66">
                  <c:v> 9p, mid£, grid+ </c:v>
                </c:pt>
                <c:pt idx="67">
                  <c:v> 9p, high£, grid+ </c:v>
                </c:pt>
                <c:pt idx="68">
                  <c:v> 10p, mid£, grid+ </c:v>
                </c:pt>
                <c:pt idx="69">
                  <c:v> 10p, high£, grid+ </c:v>
                </c:pt>
                <c:pt idx="70">
                  <c:v> 12p, mid£, grid+ </c:v>
                </c:pt>
                <c:pt idx="71">
                  <c:v> 12p, high£, grid+ </c:v>
                </c:pt>
                <c:pt idx="72">
                  <c:v> 9p, low£ </c:v>
                </c:pt>
                <c:pt idx="73">
                  <c:v> 9p, low£ </c:v>
                </c:pt>
                <c:pt idx="74">
                  <c:v> 10p, low£ </c:v>
                </c:pt>
                <c:pt idx="75">
                  <c:v> 10p, high£ </c:v>
                </c:pt>
                <c:pt idx="76">
                  <c:v> 12p, low£ </c:v>
                </c:pt>
                <c:pt idx="77">
                  <c:v> 12p, low£ </c:v>
                </c:pt>
                <c:pt idx="78">
                  <c:v> 9p, mid£, grid+ </c:v>
                </c:pt>
                <c:pt idx="79">
                  <c:v> 9p, high£, grid+ </c:v>
                </c:pt>
                <c:pt idx="80">
                  <c:v> 10p, mid£, grid+ </c:v>
                </c:pt>
                <c:pt idx="81">
                  <c:v> 10p, high£, grid+ </c:v>
                </c:pt>
                <c:pt idx="82">
                  <c:v> 12p, mid£, grid+ </c:v>
                </c:pt>
                <c:pt idx="83">
                  <c:v> 12p, high£, grid+ </c:v>
                </c:pt>
              </c:strCache>
            </c:strRef>
          </c:cat>
          <c:val>
            <c:numRef>
              <c:f>'Model Results - tables (draft)'!$AA$5:$AA$88</c:f>
              <c:numCache>
                <c:formatCode>_-"£"* #,##0_-;\-"£"* #,##0_-;_-"£"* "-"??_-;_-@_-</c:formatCode>
                <c:ptCount val="84"/>
                <c:pt idx="0">
                  <c:v>287000</c:v>
                </c:pt>
                <c:pt idx="1">
                  <c:v>194700</c:v>
                </c:pt>
                <c:pt idx="2">
                  <c:v>350100</c:v>
                </c:pt>
                <c:pt idx="3">
                  <c:v>257800</c:v>
                </c:pt>
                <c:pt idx="4">
                  <c:v>476300</c:v>
                </c:pt>
                <c:pt idx="5">
                  <c:v>384000</c:v>
                </c:pt>
                <c:pt idx="6">
                  <c:v>230800</c:v>
                </c:pt>
                <c:pt idx="7">
                  <c:v>175300</c:v>
                </c:pt>
                <c:pt idx="8">
                  <c:v>293900</c:v>
                </c:pt>
                <c:pt idx="9">
                  <c:v>238500</c:v>
                </c:pt>
                <c:pt idx="10">
                  <c:v>420100</c:v>
                </c:pt>
                <c:pt idx="11">
                  <c:v>364700</c:v>
                </c:pt>
              </c:numCache>
            </c:numRef>
          </c:val>
          <c:extLst>
            <c:ext xmlns:c16="http://schemas.microsoft.com/office/drawing/2014/chart" uri="{C3380CC4-5D6E-409C-BE32-E72D297353CC}">
              <c16:uniqueId val="{00000000-3636-48EF-A728-FFE88D19AC4E}"/>
            </c:ext>
          </c:extLst>
        </c:ser>
        <c:ser>
          <c:idx val="1"/>
          <c:order val="1"/>
          <c:tx>
            <c:strRef>
              <c:f>'Model Results - tables (draft)'!$AB$4</c:f>
              <c:strCache>
                <c:ptCount val="1"/>
                <c:pt idx="0">
                  <c:v>500kW, 
£1000/acre</c:v>
                </c:pt>
              </c:strCache>
            </c:strRef>
          </c:tx>
          <c:spPr>
            <a:solidFill>
              <a:schemeClr val="accent2">
                <a:lumMod val="50000"/>
              </a:schemeClr>
            </a:solidFill>
            <a:ln>
              <a:solidFill>
                <a:schemeClr val="bg1"/>
              </a:solidFill>
            </a:ln>
            <a:effectLst/>
          </c:spPr>
          <c:invertIfNegative val="0"/>
          <c:cat>
            <c:strRef>
              <c:f>'Model Results - tables (draft)'!$Z$5:$Z$88</c:f>
              <c:strCache>
                <c:ptCount val="84"/>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pt idx="12">
                  <c:v> 9p, low£ </c:v>
                </c:pt>
                <c:pt idx="13">
                  <c:v> 9p, low£ </c:v>
                </c:pt>
                <c:pt idx="14">
                  <c:v> 10p, low£ </c:v>
                </c:pt>
                <c:pt idx="15">
                  <c:v> 10p, high£ </c:v>
                </c:pt>
                <c:pt idx="16">
                  <c:v> 12p, low£ </c:v>
                </c:pt>
                <c:pt idx="17">
                  <c:v> 12p, low£ </c:v>
                </c:pt>
                <c:pt idx="18">
                  <c:v> 9p, mid£, grid+ </c:v>
                </c:pt>
                <c:pt idx="19">
                  <c:v> 9p, high£, grid+ </c:v>
                </c:pt>
                <c:pt idx="20">
                  <c:v> 10p, mid£, grid+ </c:v>
                </c:pt>
                <c:pt idx="21">
                  <c:v> 10p, high£, grid+ </c:v>
                </c:pt>
                <c:pt idx="22">
                  <c:v> 12p, mid£, grid+ </c:v>
                </c:pt>
                <c:pt idx="23">
                  <c:v> 12p, high£, grid+ </c:v>
                </c:pt>
                <c:pt idx="24">
                  <c:v> 9p, low£ </c:v>
                </c:pt>
                <c:pt idx="25">
                  <c:v> 9p, low£ </c:v>
                </c:pt>
                <c:pt idx="26">
                  <c:v> 10p, low£ </c:v>
                </c:pt>
                <c:pt idx="27">
                  <c:v> 10p, high£ </c:v>
                </c:pt>
                <c:pt idx="28">
                  <c:v> 12p, low£ </c:v>
                </c:pt>
                <c:pt idx="29">
                  <c:v> 12p, low£ </c:v>
                </c:pt>
                <c:pt idx="30">
                  <c:v> 9p, mid£, grid+ </c:v>
                </c:pt>
                <c:pt idx="31">
                  <c:v> 9p, high£, grid+ </c:v>
                </c:pt>
                <c:pt idx="32">
                  <c:v> 10p, mid£, grid+ </c:v>
                </c:pt>
                <c:pt idx="33">
                  <c:v> 10p, high£, grid+ </c:v>
                </c:pt>
                <c:pt idx="34">
                  <c:v> 12p, mid£, grid+ </c:v>
                </c:pt>
                <c:pt idx="35">
                  <c:v> 12p, high£, grid+ </c:v>
                </c:pt>
                <c:pt idx="36">
                  <c:v> 9p, low£ </c:v>
                </c:pt>
                <c:pt idx="37">
                  <c:v> 9p, low£ </c:v>
                </c:pt>
                <c:pt idx="38">
                  <c:v> 10p, low£ </c:v>
                </c:pt>
                <c:pt idx="39">
                  <c:v> 10p, high£ </c:v>
                </c:pt>
                <c:pt idx="40">
                  <c:v> 12p, low£ </c:v>
                </c:pt>
                <c:pt idx="41">
                  <c:v> 12p, low£ </c:v>
                </c:pt>
                <c:pt idx="42">
                  <c:v> 9p, mid£, grid+ </c:v>
                </c:pt>
                <c:pt idx="43">
                  <c:v> 9p, high£, grid+ </c:v>
                </c:pt>
                <c:pt idx="44">
                  <c:v> 10p, mid£, grid+ </c:v>
                </c:pt>
                <c:pt idx="45">
                  <c:v> 10p, high£, grid+ </c:v>
                </c:pt>
                <c:pt idx="46">
                  <c:v> 12p, mid£, grid+ </c:v>
                </c:pt>
                <c:pt idx="47">
                  <c:v> 12p, high£, grid+ </c:v>
                </c:pt>
                <c:pt idx="48">
                  <c:v> 9p, low£ </c:v>
                </c:pt>
                <c:pt idx="49">
                  <c:v> 9p, low£ </c:v>
                </c:pt>
                <c:pt idx="50">
                  <c:v> 10p, low£ </c:v>
                </c:pt>
                <c:pt idx="51">
                  <c:v> 10p, high£ </c:v>
                </c:pt>
                <c:pt idx="52">
                  <c:v> 12p, low£ </c:v>
                </c:pt>
                <c:pt idx="53">
                  <c:v> 12p, low£ </c:v>
                </c:pt>
                <c:pt idx="54">
                  <c:v> 9p, mid£, grid+ </c:v>
                </c:pt>
                <c:pt idx="55">
                  <c:v> 9p, high£, grid+ </c:v>
                </c:pt>
                <c:pt idx="56">
                  <c:v> 10p, mid£, grid+ </c:v>
                </c:pt>
                <c:pt idx="57">
                  <c:v> 10p, high£, grid+ </c:v>
                </c:pt>
                <c:pt idx="58">
                  <c:v> 12p, mid£, grid+ </c:v>
                </c:pt>
                <c:pt idx="59">
                  <c:v> 12p, high£, grid+ </c:v>
                </c:pt>
                <c:pt idx="60">
                  <c:v> 9p, low£ </c:v>
                </c:pt>
                <c:pt idx="61">
                  <c:v> 9p, low£ </c:v>
                </c:pt>
                <c:pt idx="62">
                  <c:v> 10p, low£ </c:v>
                </c:pt>
                <c:pt idx="63">
                  <c:v> 10p, high£ </c:v>
                </c:pt>
                <c:pt idx="64">
                  <c:v> 12p, low£ </c:v>
                </c:pt>
                <c:pt idx="65">
                  <c:v> 12p, low£ </c:v>
                </c:pt>
                <c:pt idx="66">
                  <c:v> 9p, mid£, grid+ </c:v>
                </c:pt>
                <c:pt idx="67">
                  <c:v> 9p, high£, grid+ </c:v>
                </c:pt>
                <c:pt idx="68">
                  <c:v> 10p, mid£, grid+ </c:v>
                </c:pt>
                <c:pt idx="69">
                  <c:v> 10p, high£, grid+ </c:v>
                </c:pt>
                <c:pt idx="70">
                  <c:v> 12p, mid£, grid+ </c:v>
                </c:pt>
                <c:pt idx="71">
                  <c:v> 12p, high£, grid+ </c:v>
                </c:pt>
                <c:pt idx="72">
                  <c:v> 9p, low£ </c:v>
                </c:pt>
                <c:pt idx="73">
                  <c:v> 9p, low£ </c:v>
                </c:pt>
                <c:pt idx="74">
                  <c:v> 10p, low£ </c:v>
                </c:pt>
                <c:pt idx="75">
                  <c:v> 10p, high£ </c:v>
                </c:pt>
                <c:pt idx="76">
                  <c:v> 12p, low£ </c:v>
                </c:pt>
                <c:pt idx="77">
                  <c:v> 12p, low£ </c:v>
                </c:pt>
                <c:pt idx="78">
                  <c:v> 9p, mid£, grid+ </c:v>
                </c:pt>
                <c:pt idx="79">
                  <c:v> 9p, high£, grid+ </c:v>
                </c:pt>
                <c:pt idx="80">
                  <c:v> 10p, mid£, grid+ </c:v>
                </c:pt>
                <c:pt idx="81">
                  <c:v> 10p, high£, grid+ </c:v>
                </c:pt>
                <c:pt idx="82">
                  <c:v> 12p, mid£, grid+ </c:v>
                </c:pt>
                <c:pt idx="83">
                  <c:v> 12p, high£, grid+ </c:v>
                </c:pt>
              </c:strCache>
            </c:strRef>
          </c:cat>
          <c:val>
            <c:numRef>
              <c:f>'Model Results - tables (draft)'!$AB$5:$AB$88</c:f>
              <c:numCache>
                <c:formatCode>General</c:formatCode>
                <c:ptCount val="84"/>
                <c:pt idx="12" formatCode="_-&quot;£&quot;* #,##0_-;\-&quot;£&quot;* #,##0_-;_-&quot;£&quot;* &quot;-&quot;??_-;_-@_-">
                  <c:v>259100</c:v>
                </c:pt>
                <c:pt idx="13" formatCode="_-&quot;£&quot;* #,##0_-;\-&quot;£&quot;* #,##0_-;_-&quot;£&quot;* &quot;-&quot;??_-;_-@_-">
                  <c:v>166700</c:v>
                </c:pt>
                <c:pt idx="14" formatCode="_-&quot;£&quot;* #,##0_-;\-&quot;£&quot;* #,##0_-;_-&quot;£&quot;* &quot;-&quot;??_-;_-@_-">
                  <c:v>322200</c:v>
                </c:pt>
                <c:pt idx="15" formatCode="_-&quot;£&quot;* #,##0_-;\-&quot;£&quot;* #,##0_-;_-&quot;£&quot;* &quot;-&quot;??_-;_-@_-">
                  <c:v>229800</c:v>
                </c:pt>
                <c:pt idx="16" formatCode="_-&quot;£&quot;* #,##0_-;\-&quot;£&quot;* #,##0_-;_-&quot;£&quot;* &quot;-&quot;??_-;_-@_-">
                  <c:v>448400</c:v>
                </c:pt>
                <c:pt idx="17" formatCode="_-&quot;£&quot;* #,##0_-;\-&quot;£&quot;* #,##0_-;_-&quot;£&quot;* &quot;-&quot;??_-;_-@_-">
                  <c:v>356000</c:v>
                </c:pt>
                <c:pt idx="18" formatCode="_-&quot;£&quot;* #,##0_-;\-&quot;£&quot;* #,##0_-;_-&quot;£&quot;* &quot;-&quot;??_-;_-@_-">
                  <c:v>202800</c:v>
                </c:pt>
                <c:pt idx="19" formatCode="_-&quot;£&quot;* #,##0_-;\-&quot;£&quot;* #,##0_-;_-&quot;£&quot;* &quot;-&quot;??_-;_-@_-">
                  <c:v>147400</c:v>
                </c:pt>
                <c:pt idx="20" formatCode="_-&quot;£&quot;* #,##0_-;\-&quot;£&quot;* #,##0_-;_-&quot;£&quot;* &quot;-&quot;??_-;_-@_-">
                  <c:v>265900</c:v>
                </c:pt>
                <c:pt idx="21" formatCode="_-&quot;£&quot;* #,##0_-;\-&quot;£&quot;* #,##0_-;_-&quot;£&quot;* &quot;-&quot;??_-;_-@_-">
                  <c:v>210500</c:v>
                </c:pt>
                <c:pt idx="22" formatCode="_-&quot;£&quot;* #,##0_-;\-&quot;£&quot;* #,##0_-;_-&quot;£&quot;* &quot;-&quot;??_-;_-@_-">
                  <c:v>392100</c:v>
                </c:pt>
                <c:pt idx="23" formatCode="_-&quot;£&quot;* #,##0_-;\-&quot;£&quot;* #,##0_-;_-&quot;£&quot;* &quot;-&quot;??_-;_-@_-">
                  <c:v>336700</c:v>
                </c:pt>
              </c:numCache>
            </c:numRef>
          </c:val>
          <c:extLst>
            <c:ext xmlns:c16="http://schemas.microsoft.com/office/drawing/2014/chart" uri="{C3380CC4-5D6E-409C-BE32-E72D297353CC}">
              <c16:uniqueId val="{00000001-3636-48EF-A728-FFE88D19AC4E}"/>
            </c:ext>
          </c:extLst>
        </c:ser>
        <c:ser>
          <c:idx val="2"/>
          <c:order val="2"/>
          <c:tx>
            <c:strRef>
              <c:f>'Model Results - tables (draft)'!$AC$4</c:f>
              <c:strCache>
                <c:ptCount val="1"/>
                <c:pt idx="0">
                  <c:v>300kW, 
£500/acre</c:v>
                </c:pt>
              </c:strCache>
            </c:strRef>
          </c:tx>
          <c:spPr>
            <a:solidFill>
              <a:schemeClr val="tx1">
                <a:lumMod val="65000"/>
                <a:lumOff val="35000"/>
              </a:schemeClr>
            </a:solidFill>
            <a:ln>
              <a:solidFill>
                <a:schemeClr val="bg1"/>
              </a:solidFill>
            </a:ln>
            <a:effectLst/>
          </c:spPr>
          <c:invertIfNegative val="0"/>
          <c:cat>
            <c:strRef>
              <c:f>'Model Results - tables (draft)'!$Z$5:$Z$88</c:f>
              <c:strCache>
                <c:ptCount val="84"/>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pt idx="12">
                  <c:v> 9p, low£ </c:v>
                </c:pt>
                <c:pt idx="13">
                  <c:v> 9p, low£ </c:v>
                </c:pt>
                <c:pt idx="14">
                  <c:v> 10p, low£ </c:v>
                </c:pt>
                <c:pt idx="15">
                  <c:v> 10p, high£ </c:v>
                </c:pt>
                <c:pt idx="16">
                  <c:v> 12p, low£ </c:v>
                </c:pt>
                <c:pt idx="17">
                  <c:v> 12p, low£ </c:v>
                </c:pt>
                <c:pt idx="18">
                  <c:v> 9p, mid£, grid+ </c:v>
                </c:pt>
                <c:pt idx="19">
                  <c:v> 9p, high£, grid+ </c:v>
                </c:pt>
                <c:pt idx="20">
                  <c:v> 10p, mid£, grid+ </c:v>
                </c:pt>
                <c:pt idx="21">
                  <c:v> 10p, high£, grid+ </c:v>
                </c:pt>
                <c:pt idx="22">
                  <c:v> 12p, mid£, grid+ </c:v>
                </c:pt>
                <c:pt idx="23">
                  <c:v> 12p, high£, grid+ </c:v>
                </c:pt>
                <c:pt idx="24">
                  <c:v> 9p, low£ </c:v>
                </c:pt>
                <c:pt idx="25">
                  <c:v> 9p, low£ </c:v>
                </c:pt>
                <c:pt idx="26">
                  <c:v> 10p, low£ </c:v>
                </c:pt>
                <c:pt idx="27">
                  <c:v> 10p, high£ </c:v>
                </c:pt>
                <c:pt idx="28">
                  <c:v> 12p, low£ </c:v>
                </c:pt>
                <c:pt idx="29">
                  <c:v> 12p, low£ </c:v>
                </c:pt>
                <c:pt idx="30">
                  <c:v> 9p, mid£, grid+ </c:v>
                </c:pt>
                <c:pt idx="31">
                  <c:v> 9p, high£, grid+ </c:v>
                </c:pt>
                <c:pt idx="32">
                  <c:v> 10p, mid£, grid+ </c:v>
                </c:pt>
                <c:pt idx="33">
                  <c:v> 10p, high£, grid+ </c:v>
                </c:pt>
                <c:pt idx="34">
                  <c:v> 12p, mid£, grid+ </c:v>
                </c:pt>
                <c:pt idx="35">
                  <c:v> 12p, high£, grid+ </c:v>
                </c:pt>
                <c:pt idx="36">
                  <c:v> 9p, low£ </c:v>
                </c:pt>
                <c:pt idx="37">
                  <c:v> 9p, low£ </c:v>
                </c:pt>
                <c:pt idx="38">
                  <c:v> 10p, low£ </c:v>
                </c:pt>
                <c:pt idx="39">
                  <c:v> 10p, high£ </c:v>
                </c:pt>
                <c:pt idx="40">
                  <c:v> 12p, low£ </c:v>
                </c:pt>
                <c:pt idx="41">
                  <c:v> 12p, low£ </c:v>
                </c:pt>
                <c:pt idx="42">
                  <c:v> 9p, mid£, grid+ </c:v>
                </c:pt>
                <c:pt idx="43">
                  <c:v> 9p, high£, grid+ </c:v>
                </c:pt>
                <c:pt idx="44">
                  <c:v> 10p, mid£, grid+ </c:v>
                </c:pt>
                <c:pt idx="45">
                  <c:v> 10p, high£, grid+ </c:v>
                </c:pt>
                <c:pt idx="46">
                  <c:v> 12p, mid£, grid+ </c:v>
                </c:pt>
                <c:pt idx="47">
                  <c:v> 12p, high£, grid+ </c:v>
                </c:pt>
                <c:pt idx="48">
                  <c:v> 9p, low£ </c:v>
                </c:pt>
                <c:pt idx="49">
                  <c:v> 9p, low£ </c:v>
                </c:pt>
                <c:pt idx="50">
                  <c:v> 10p, low£ </c:v>
                </c:pt>
                <c:pt idx="51">
                  <c:v> 10p, high£ </c:v>
                </c:pt>
                <c:pt idx="52">
                  <c:v> 12p, low£ </c:v>
                </c:pt>
                <c:pt idx="53">
                  <c:v> 12p, low£ </c:v>
                </c:pt>
                <c:pt idx="54">
                  <c:v> 9p, mid£, grid+ </c:v>
                </c:pt>
                <c:pt idx="55">
                  <c:v> 9p, high£, grid+ </c:v>
                </c:pt>
                <c:pt idx="56">
                  <c:v> 10p, mid£, grid+ </c:v>
                </c:pt>
                <c:pt idx="57">
                  <c:v> 10p, high£, grid+ </c:v>
                </c:pt>
                <c:pt idx="58">
                  <c:v> 12p, mid£, grid+ </c:v>
                </c:pt>
                <c:pt idx="59">
                  <c:v> 12p, high£, grid+ </c:v>
                </c:pt>
                <c:pt idx="60">
                  <c:v> 9p, low£ </c:v>
                </c:pt>
                <c:pt idx="61">
                  <c:v> 9p, low£ </c:v>
                </c:pt>
                <c:pt idx="62">
                  <c:v> 10p, low£ </c:v>
                </c:pt>
                <c:pt idx="63">
                  <c:v> 10p, high£ </c:v>
                </c:pt>
                <c:pt idx="64">
                  <c:v> 12p, low£ </c:v>
                </c:pt>
                <c:pt idx="65">
                  <c:v> 12p, low£ </c:v>
                </c:pt>
                <c:pt idx="66">
                  <c:v> 9p, mid£, grid+ </c:v>
                </c:pt>
                <c:pt idx="67">
                  <c:v> 9p, high£, grid+ </c:v>
                </c:pt>
                <c:pt idx="68">
                  <c:v> 10p, mid£, grid+ </c:v>
                </c:pt>
                <c:pt idx="69">
                  <c:v> 10p, high£, grid+ </c:v>
                </c:pt>
                <c:pt idx="70">
                  <c:v> 12p, mid£, grid+ </c:v>
                </c:pt>
                <c:pt idx="71">
                  <c:v> 12p, high£, grid+ </c:v>
                </c:pt>
                <c:pt idx="72">
                  <c:v> 9p, low£ </c:v>
                </c:pt>
                <c:pt idx="73">
                  <c:v> 9p, low£ </c:v>
                </c:pt>
                <c:pt idx="74">
                  <c:v> 10p, low£ </c:v>
                </c:pt>
                <c:pt idx="75">
                  <c:v> 10p, high£ </c:v>
                </c:pt>
                <c:pt idx="76">
                  <c:v> 12p, low£ </c:v>
                </c:pt>
                <c:pt idx="77">
                  <c:v> 12p, low£ </c:v>
                </c:pt>
                <c:pt idx="78">
                  <c:v> 9p, mid£, grid+ </c:v>
                </c:pt>
                <c:pt idx="79">
                  <c:v> 9p, high£, grid+ </c:v>
                </c:pt>
                <c:pt idx="80">
                  <c:v> 10p, mid£, grid+ </c:v>
                </c:pt>
                <c:pt idx="81">
                  <c:v> 10p, high£, grid+ </c:v>
                </c:pt>
                <c:pt idx="82">
                  <c:v> 12p, mid£, grid+ </c:v>
                </c:pt>
                <c:pt idx="83">
                  <c:v> 12p, high£, grid+ </c:v>
                </c:pt>
              </c:strCache>
            </c:strRef>
          </c:cat>
          <c:val>
            <c:numRef>
              <c:f>'Model Results - tables (draft)'!$AC$5:$AC$88</c:f>
              <c:numCache>
                <c:formatCode>General</c:formatCode>
                <c:ptCount val="84"/>
                <c:pt idx="24" formatCode="_-&quot;£&quot;* #,##0_-;\-&quot;£&quot;* #,##0_-;_-&quot;£&quot;* &quot;-&quot;??_-;_-@_-">
                  <c:v>157000</c:v>
                </c:pt>
                <c:pt idx="25" formatCode="_-&quot;£&quot;* #,##0_-;\-&quot;£&quot;* #,##0_-;_-&quot;£&quot;* &quot;-&quot;??_-;_-@_-">
                  <c:v>101300</c:v>
                </c:pt>
                <c:pt idx="26" formatCode="_-&quot;£&quot;* #,##0_-;\-&quot;£&quot;* #,##0_-;_-&quot;£&quot;* &quot;-&quot;??_-;_-@_-">
                  <c:v>194900</c:v>
                </c:pt>
                <c:pt idx="27" formatCode="_-&quot;£&quot;* #,##0_-;\-&quot;£&quot;* #,##0_-;_-&quot;£&quot;* &quot;-&quot;??_-;_-@_-">
                  <c:v>139100</c:v>
                </c:pt>
                <c:pt idx="28" formatCode="_-&quot;£&quot;* #,##0_-;\-&quot;£&quot;* #,##0_-;_-&quot;£&quot;* &quot;-&quot;??_-;_-@_-">
                  <c:v>270600</c:v>
                </c:pt>
                <c:pt idx="29" formatCode="_-&quot;£&quot;* #,##0_-;\-&quot;£&quot;* #,##0_-;_-&quot;£&quot;* &quot;-&quot;??_-;_-@_-">
                  <c:v>214900</c:v>
                </c:pt>
                <c:pt idx="30" formatCode="_-&quot;£&quot;* #,##0_-;\-&quot;£&quot;* #,##0_-;_-&quot;£&quot;* &quot;-&quot;??_-;_-@_-">
                  <c:v>115400</c:v>
                </c:pt>
                <c:pt idx="31" formatCode="_-&quot;£&quot;* #,##0_-;\-&quot;£&quot;* #,##0_-;_-&quot;£&quot;* &quot;-&quot;??_-;_-@_-">
                  <c:v>82000</c:v>
                </c:pt>
                <c:pt idx="32" formatCode="_-&quot;£&quot;* #,##0_-;\-&quot;£&quot;* #,##0_-;_-&quot;£&quot;* &quot;-&quot;??_-;_-@_-">
                  <c:v>153300</c:v>
                </c:pt>
                <c:pt idx="33" formatCode="_-&quot;£&quot;* #,##0_-;\-&quot;£&quot;* #,##0_-;_-&quot;£&quot;* &quot;-&quot;??_-;_-@_-">
                  <c:v>119800</c:v>
                </c:pt>
                <c:pt idx="34" formatCode="_-&quot;£&quot;* #,##0_-;\-&quot;£&quot;* #,##0_-;_-&quot;£&quot;* &quot;-&quot;??_-;_-@_-">
                  <c:v>229000</c:v>
                </c:pt>
                <c:pt idx="35" formatCode="_-&quot;£&quot;* #,##0_-;\-&quot;£&quot;* #,##0_-;_-&quot;£&quot;* &quot;-&quot;??_-;_-@_-">
                  <c:v>195500</c:v>
                </c:pt>
              </c:numCache>
            </c:numRef>
          </c:val>
          <c:extLst>
            <c:ext xmlns:c16="http://schemas.microsoft.com/office/drawing/2014/chart" uri="{C3380CC4-5D6E-409C-BE32-E72D297353CC}">
              <c16:uniqueId val="{00000002-3636-48EF-A728-FFE88D19AC4E}"/>
            </c:ext>
          </c:extLst>
        </c:ser>
        <c:ser>
          <c:idx val="3"/>
          <c:order val="3"/>
          <c:tx>
            <c:strRef>
              <c:f>'Model Results - tables (draft)'!$AD$4</c:f>
              <c:strCache>
                <c:ptCount val="1"/>
                <c:pt idx="0">
                  <c:v>300kW, 
£1000/acre</c:v>
                </c:pt>
              </c:strCache>
            </c:strRef>
          </c:tx>
          <c:spPr>
            <a:solidFill>
              <a:schemeClr val="accent5"/>
            </a:solidFill>
            <a:ln>
              <a:solidFill>
                <a:schemeClr val="bg1"/>
              </a:solidFill>
            </a:ln>
            <a:effectLst/>
          </c:spPr>
          <c:invertIfNegative val="0"/>
          <c:cat>
            <c:strRef>
              <c:f>'Model Results - tables (draft)'!$Z$5:$Z$88</c:f>
              <c:strCache>
                <c:ptCount val="84"/>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pt idx="12">
                  <c:v> 9p, low£ </c:v>
                </c:pt>
                <c:pt idx="13">
                  <c:v> 9p, low£ </c:v>
                </c:pt>
                <c:pt idx="14">
                  <c:v> 10p, low£ </c:v>
                </c:pt>
                <c:pt idx="15">
                  <c:v> 10p, high£ </c:v>
                </c:pt>
                <c:pt idx="16">
                  <c:v> 12p, low£ </c:v>
                </c:pt>
                <c:pt idx="17">
                  <c:v> 12p, low£ </c:v>
                </c:pt>
                <c:pt idx="18">
                  <c:v> 9p, mid£, grid+ </c:v>
                </c:pt>
                <c:pt idx="19">
                  <c:v> 9p, high£, grid+ </c:v>
                </c:pt>
                <c:pt idx="20">
                  <c:v> 10p, mid£, grid+ </c:v>
                </c:pt>
                <c:pt idx="21">
                  <c:v> 10p, high£, grid+ </c:v>
                </c:pt>
                <c:pt idx="22">
                  <c:v> 12p, mid£, grid+ </c:v>
                </c:pt>
                <c:pt idx="23">
                  <c:v> 12p, high£, grid+ </c:v>
                </c:pt>
                <c:pt idx="24">
                  <c:v> 9p, low£ </c:v>
                </c:pt>
                <c:pt idx="25">
                  <c:v> 9p, low£ </c:v>
                </c:pt>
                <c:pt idx="26">
                  <c:v> 10p, low£ </c:v>
                </c:pt>
                <c:pt idx="27">
                  <c:v> 10p, high£ </c:v>
                </c:pt>
                <c:pt idx="28">
                  <c:v> 12p, low£ </c:v>
                </c:pt>
                <c:pt idx="29">
                  <c:v> 12p, low£ </c:v>
                </c:pt>
                <c:pt idx="30">
                  <c:v> 9p, mid£, grid+ </c:v>
                </c:pt>
                <c:pt idx="31">
                  <c:v> 9p, high£, grid+ </c:v>
                </c:pt>
                <c:pt idx="32">
                  <c:v> 10p, mid£, grid+ </c:v>
                </c:pt>
                <c:pt idx="33">
                  <c:v> 10p, high£, grid+ </c:v>
                </c:pt>
                <c:pt idx="34">
                  <c:v> 12p, mid£, grid+ </c:v>
                </c:pt>
                <c:pt idx="35">
                  <c:v> 12p, high£, grid+ </c:v>
                </c:pt>
                <c:pt idx="36">
                  <c:v> 9p, low£ </c:v>
                </c:pt>
                <c:pt idx="37">
                  <c:v> 9p, low£ </c:v>
                </c:pt>
                <c:pt idx="38">
                  <c:v> 10p, low£ </c:v>
                </c:pt>
                <c:pt idx="39">
                  <c:v> 10p, high£ </c:v>
                </c:pt>
                <c:pt idx="40">
                  <c:v> 12p, low£ </c:v>
                </c:pt>
                <c:pt idx="41">
                  <c:v> 12p, low£ </c:v>
                </c:pt>
                <c:pt idx="42">
                  <c:v> 9p, mid£, grid+ </c:v>
                </c:pt>
                <c:pt idx="43">
                  <c:v> 9p, high£, grid+ </c:v>
                </c:pt>
                <c:pt idx="44">
                  <c:v> 10p, mid£, grid+ </c:v>
                </c:pt>
                <c:pt idx="45">
                  <c:v> 10p, high£, grid+ </c:v>
                </c:pt>
                <c:pt idx="46">
                  <c:v> 12p, mid£, grid+ </c:v>
                </c:pt>
                <c:pt idx="47">
                  <c:v> 12p, high£, grid+ </c:v>
                </c:pt>
                <c:pt idx="48">
                  <c:v> 9p, low£ </c:v>
                </c:pt>
                <c:pt idx="49">
                  <c:v> 9p, low£ </c:v>
                </c:pt>
                <c:pt idx="50">
                  <c:v> 10p, low£ </c:v>
                </c:pt>
                <c:pt idx="51">
                  <c:v> 10p, high£ </c:v>
                </c:pt>
                <c:pt idx="52">
                  <c:v> 12p, low£ </c:v>
                </c:pt>
                <c:pt idx="53">
                  <c:v> 12p, low£ </c:v>
                </c:pt>
                <c:pt idx="54">
                  <c:v> 9p, mid£, grid+ </c:v>
                </c:pt>
                <c:pt idx="55">
                  <c:v> 9p, high£, grid+ </c:v>
                </c:pt>
                <c:pt idx="56">
                  <c:v> 10p, mid£, grid+ </c:v>
                </c:pt>
                <c:pt idx="57">
                  <c:v> 10p, high£, grid+ </c:v>
                </c:pt>
                <c:pt idx="58">
                  <c:v> 12p, mid£, grid+ </c:v>
                </c:pt>
                <c:pt idx="59">
                  <c:v> 12p, high£, grid+ </c:v>
                </c:pt>
                <c:pt idx="60">
                  <c:v> 9p, low£ </c:v>
                </c:pt>
                <c:pt idx="61">
                  <c:v> 9p, low£ </c:v>
                </c:pt>
                <c:pt idx="62">
                  <c:v> 10p, low£ </c:v>
                </c:pt>
                <c:pt idx="63">
                  <c:v> 10p, high£ </c:v>
                </c:pt>
                <c:pt idx="64">
                  <c:v> 12p, low£ </c:v>
                </c:pt>
                <c:pt idx="65">
                  <c:v> 12p, low£ </c:v>
                </c:pt>
                <c:pt idx="66">
                  <c:v> 9p, mid£, grid+ </c:v>
                </c:pt>
                <c:pt idx="67">
                  <c:v> 9p, high£, grid+ </c:v>
                </c:pt>
                <c:pt idx="68">
                  <c:v> 10p, mid£, grid+ </c:v>
                </c:pt>
                <c:pt idx="69">
                  <c:v> 10p, high£, grid+ </c:v>
                </c:pt>
                <c:pt idx="70">
                  <c:v> 12p, mid£, grid+ </c:v>
                </c:pt>
                <c:pt idx="71">
                  <c:v> 12p, high£, grid+ </c:v>
                </c:pt>
                <c:pt idx="72">
                  <c:v> 9p, low£ </c:v>
                </c:pt>
                <c:pt idx="73">
                  <c:v> 9p, low£ </c:v>
                </c:pt>
                <c:pt idx="74">
                  <c:v> 10p, low£ </c:v>
                </c:pt>
                <c:pt idx="75">
                  <c:v> 10p, high£ </c:v>
                </c:pt>
                <c:pt idx="76">
                  <c:v> 12p, low£ </c:v>
                </c:pt>
                <c:pt idx="77">
                  <c:v> 12p, low£ </c:v>
                </c:pt>
                <c:pt idx="78">
                  <c:v> 9p, mid£, grid+ </c:v>
                </c:pt>
                <c:pt idx="79">
                  <c:v> 9p, high£, grid+ </c:v>
                </c:pt>
                <c:pt idx="80">
                  <c:v> 10p, mid£, grid+ </c:v>
                </c:pt>
                <c:pt idx="81">
                  <c:v> 10p, high£, grid+ </c:v>
                </c:pt>
                <c:pt idx="82">
                  <c:v> 12p, mid£, grid+ </c:v>
                </c:pt>
                <c:pt idx="83">
                  <c:v> 12p, high£, grid+ </c:v>
                </c:pt>
              </c:strCache>
            </c:strRef>
          </c:cat>
          <c:val>
            <c:numRef>
              <c:f>'Model Results - tables (draft)'!$AD$5:$AD$88</c:f>
              <c:numCache>
                <c:formatCode>General</c:formatCode>
                <c:ptCount val="84"/>
                <c:pt idx="36" formatCode="_-&quot;£&quot;* #,##0_-;\-&quot;£&quot;* #,##0_-;_-&quot;£&quot;* &quot;-&quot;??_-;_-@_-">
                  <c:v>140300</c:v>
                </c:pt>
                <c:pt idx="37" formatCode="_-&quot;£&quot;* #,##0_-;\-&quot;£&quot;* #,##0_-;_-&quot;£&quot;* &quot;-&quot;??_-;_-@_-">
                  <c:v>84500</c:v>
                </c:pt>
                <c:pt idx="38" formatCode="_-&quot;£&quot;* #,##0_-;\-&quot;£&quot;* #,##0_-;_-&quot;£&quot;* &quot;-&quot;??_-;_-@_-">
                  <c:v>178100</c:v>
                </c:pt>
                <c:pt idx="39" formatCode="_-&quot;£&quot;* #,##0_-;\-&quot;£&quot;* #,##0_-;_-&quot;£&quot;* &quot;-&quot;??_-;_-@_-">
                  <c:v>122400</c:v>
                </c:pt>
                <c:pt idx="40" formatCode="_-&quot;£&quot;* #,##0_-;\-&quot;£&quot;* #,##0_-;_-&quot;£&quot;* &quot;-&quot;??_-;_-@_-">
                  <c:v>253900</c:v>
                </c:pt>
                <c:pt idx="41" formatCode="_-&quot;£&quot;* #,##0_-;\-&quot;£&quot;* #,##0_-;_-&quot;£&quot;* &quot;-&quot;??_-;_-@_-">
                  <c:v>198100</c:v>
                </c:pt>
                <c:pt idx="42" formatCode="_-&quot;£&quot;* #,##0_-;\-&quot;£&quot;* #,##0_-;_-&quot;£&quot;* &quot;-&quot;??_-;_-@_-">
                  <c:v>98600</c:v>
                </c:pt>
                <c:pt idx="43" formatCode="_-&quot;£&quot;* #,##0_-;\-&quot;£&quot;* #,##0_-;_-&quot;£&quot;* &quot;-&quot;??_-;_-@_-">
                  <c:v>65200</c:v>
                </c:pt>
                <c:pt idx="44" formatCode="_-&quot;£&quot;* #,##0_-;\-&quot;£&quot;* #,##0_-;_-&quot;£&quot;* &quot;-&quot;??_-;_-@_-">
                  <c:v>136500</c:v>
                </c:pt>
                <c:pt idx="45" formatCode="_-&quot;£&quot;* #,##0_-;\-&quot;£&quot;* #,##0_-;_-&quot;£&quot;* &quot;-&quot;??_-;_-@_-">
                  <c:v>103000</c:v>
                </c:pt>
                <c:pt idx="46" formatCode="_-&quot;£&quot;* #,##0_-;\-&quot;£&quot;* #,##0_-;_-&quot;£&quot;* &quot;-&quot;??_-;_-@_-">
                  <c:v>212200</c:v>
                </c:pt>
                <c:pt idx="47" formatCode="_-&quot;£&quot;* #,##0_-;\-&quot;£&quot;* #,##0_-;_-&quot;£&quot;* &quot;-&quot;??_-;_-@_-">
                  <c:v>178800</c:v>
                </c:pt>
              </c:numCache>
            </c:numRef>
          </c:val>
          <c:extLst>
            <c:ext xmlns:c16="http://schemas.microsoft.com/office/drawing/2014/chart" uri="{C3380CC4-5D6E-409C-BE32-E72D297353CC}">
              <c16:uniqueId val="{00000003-3636-48EF-A728-FFE88D19AC4E}"/>
            </c:ext>
          </c:extLst>
        </c:ser>
        <c:ser>
          <c:idx val="5"/>
          <c:order val="4"/>
          <c:tx>
            <c:strRef>
              <c:f>'Model Results - tables (draft)'!$AE$4</c:f>
              <c:strCache>
                <c:ptCount val="1"/>
                <c:pt idx="0">
                  <c:v>300kW, 
£500/acre (no export)</c:v>
                </c:pt>
              </c:strCache>
            </c:strRef>
          </c:tx>
          <c:spPr>
            <a:solidFill>
              <a:srgbClr val="002060"/>
            </a:solidFill>
            <a:ln>
              <a:solidFill>
                <a:schemeClr val="bg1"/>
              </a:solidFill>
            </a:ln>
            <a:effectLst/>
          </c:spPr>
          <c:invertIfNegative val="0"/>
          <c:cat>
            <c:strRef>
              <c:f>'Model Results - tables (draft)'!$Z$5:$Z$88</c:f>
              <c:strCache>
                <c:ptCount val="84"/>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pt idx="12">
                  <c:v> 9p, low£ </c:v>
                </c:pt>
                <c:pt idx="13">
                  <c:v> 9p, low£ </c:v>
                </c:pt>
                <c:pt idx="14">
                  <c:v> 10p, low£ </c:v>
                </c:pt>
                <c:pt idx="15">
                  <c:v> 10p, high£ </c:v>
                </c:pt>
                <c:pt idx="16">
                  <c:v> 12p, low£ </c:v>
                </c:pt>
                <c:pt idx="17">
                  <c:v> 12p, low£ </c:v>
                </c:pt>
                <c:pt idx="18">
                  <c:v> 9p, mid£, grid+ </c:v>
                </c:pt>
                <c:pt idx="19">
                  <c:v> 9p, high£, grid+ </c:v>
                </c:pt>
                <c:pt idx="20">
                  <c:v> 10p, mid£, grid+ </c:v>
                </c:pt>
                <c:pt idx="21">
                  <c:v> 10p, high£, grid+ </c:v>
                </c:pt>
                <c:pt idx="22">
                  <c:v> 12p, mid£, grid+ </c:v>
                </c:pt>
                <c:pt idx="23">
                  <c:v> 12p, high£, grid+ </c:v>
                </c:pt>
                <c:pt idx="24">
                  <c:v> 9p, low£ </c:v>
                </c:pt>
                <c:pt idx="25">
                  <c:v> 9p, low£ </c:v>
                </c:pt>
                <c:pt idx="26">
                  <c:v> 10p, low£ </c:v>
                </c:pt>
                <c:pt idx="27">
                  <c:v> 10p, high£ </c:v>
                </c:pt>
                <c:pt idx="28">
                  <c:v> 12p, low£ </c:v>
                </c:pt>
                <c:pt idx="29">
                  <c:v> 12p, low£ </c:v>
                </c:pt>
                <c:pt idx="30">
                  <c:v> 9p, mid£, grid+ </c:v>
                </c:pt>
                <c:pt idx="31">
                  <c:v> 9p, high£, grid+ </c:v>
                </c:pt>
                <c:pt idx="32">
                  <c:v> 10p, mid£, grid+ </c:v>
                </c:pt>
                <c:pt idx="33">
                  <c:v> 10p, high£, grid+ </c:v>
                </c:pt>
                <c:pt idx="34">
                  <c:v> 12p, mid£, grid+ </c:v>
                </c:pt>
                <c:pt idx="35">
                  <c:v> 12p, high£, grid+ </c:v>
                </c:pt>
                <c:pt idx="36">
                  <c:v> 9p, low£ </c:v>
                </c:pt>
                <c:pt idx="37">
                  <c:v> 9p, low£ </c:v>
                </c:pt>
                <c:pt idx="38">
                  <c:v> 10p, low£ </c:v>
                </c:pt>
                <c:pt idx="39">
                  <c:v> 10p, high£ </c:v>
                </c:pt>
                <c:pt idx="40">
                  <c:v> 12p, low£ </c:v>
                </c:pt>
                <c:pt idx="41">
                  <c:v> 12p, low£ </c:v>
                </c:pt>
                <c:pt idx="42">
                  <c:v> 9p, mid£, grid+ </c:v>
                </c:pt>
                <c:pt idx="43">
                  <c:v> 9p, high£, grid+ </c:v>
                </c:pt>
                <c:pt idx="44">
                  <c:v> 10p, mid£, grid+ </c:v>
                </c:pt>
                <c:pt idx="45">
                  <c:v> 10p, high£, grid+ </c:v>
                </c:pt>
                <c:pt idx="46">
                  <c:v> 12p, mid£, grid+ </c:v>
                </c:pt>
                <c:pt idx="47">
                  <c:v> 12p, high£, grid+ </c:v>
                </c:pt>
                <c:pt idx="48">
                  <c:v> 9p, low£ </c:v>
                </c:pt>
                <c:pt idx="49">
                  <c:v> 9p, low£ </c:v>
                </c:pt>
                <c:pt idx="50">
                  <c:v> 10p, low£ </c:v>
                </c:pt>
                <c:pt idx="51">
                  <c:v> 10p, high£ </c:v>
                </c:pt>
                <c:pt idx="52">
                  <c:v> 12p, low£ </c:v>
                </c:pt>
                <c:pt idx="53">
                  <c:v> 12p, low£ </c:v>
                </c:pt>
                <c:pt idx="54">
                  <c:v> 9p, mid£, grid+ </c:v>
                </c:pt>
                <c:pt idx="55">
                  <c:v> 9p, high£, grid+ </c:v>
                </c:pt>
                <c:pt idx="56">
                  <c:v> 10p, mid£, grid+ </c:v>
                </c:pt>
                <c:pt idx="57">
                  <c:v> 10p, high£, grid+ </c:v>
                </c:pt>
                <c:pt idx="58">
                  <c:v> 12p, mid£, grid+ </c:v>
                </c:pt>
                <c:pt idx="59">
                  <c:v> 12p, high£, grid+ </c:v>
                </c:pt>
                <c:pt idx="60">
                  <c:v> 9p, low£ </c:v>
                </c:pt>
                <c:pt idx="61">
                  <c:v> 9p, low£ </c:v>
                </c:pt>
                <c:pt idx="62">
                  <c:v> 10p, low£ </c:v>
                </c:pt>
                <c:pt idx="63">
                  <c:v> 10p, high£ </c:v>
                </c:pt>
                <c:pt idx="64">
                  <c:v> 12p, low£ </c:v>
                </c:pt>
                <c:pt idx="65">
                  <c:v> 12p, low£ </c:v>
                </c:pt>
                <c:pt idx="66">
                  <c:v> 9p, mid£, grid+ </c:v>
                </c:pt>
                <c:pt idx="67">
                  <c:v> 9p, high£, grid+ </c:v>
                </c:pt>
                <c:pt idx="68">
                  <c:v> 10p, mid£, grid+ </c:v>
                </c:pt>
                <c:pt idx="69">
                  <c:v> 10p, high£, grid+ </c:v>
                </c:pt>
                <c:pt idx="70">
                  <c:v> 12p, mid£, grid+ </c:v>
                </c:pt>
                <c:pt idx="71">
                  <c:v> 12p, high£, grid+ </c:v>
                </c:pt>
                <c:pt idx="72">
                  <c:v> 9p, low£ </c:v>
                </c:pt>
                <c:pt idx="73">
                  <c:v> 9p, low£ </c:v>
                </c:pt>
                <c:pt idx="74">
                  <c:v> 10p, low£ </c:v>
                </c:pt>
                <c:pt idx="75">
                  <c:v> 10p, high£ </c:v>
                </c:pt>
                <c:pt idx="76">
                  <c:v> 12p, low£ </c:v>
                </c:pt>
                <c:pt idx="77">
                  <c:v> 12p, low£ </c:v>
                </c:pt>
                <c:pt idx="78">
                  <c:v> 9p, mid£, grid+ </c:v>
                </c:pt>
                <c:pt idx="79">
                  <c:v> 9p, high£, grid+ </c:v>
                </c:pt>
                <c:pt idx="80">
                  <c:v> 10p, mid£, grid+ </c:v>
                </c:pt>
                <c:pt idx="81">
                  <c:v> 10p, high£, grid+ </c:v>
                </c:pt>
                <c:pt idx="82">
                  <c:v> 12p, mid£, grid+ </c:v>
                </c:pt>
                <c:pt idx="83">
                  <c:v> 12p, high£, grid+ </c:v>
                </c:pt>
              </c:strCache>
            </c:strRef>
          </c:cat>
          <c:val>
            <c:numRef>
              <c:f>'Model Results - tables (draft)'!$AE$5:$AE$88</c:f>
              <c:numCache>
                <c:formatCode>General</c:formatCode>
                <c:ptCount val="84"/>
                <c:pt idx="48" formatCode="_-&quot;£&quot;* #,##0_-;\-&quot;£&quot;* #,##0_-;_-&quot;£&quot;* &quot;-&quot;??_-;_-@_-">
                  <c:v>185500</c:v>
                </c:pt>
                <c:pt idx="49" formatCode="_-&quot;£&quot;* #,##0_-;\-&quot;£&quot;* #,##0_-;_-&quot;£&quot;* &quot;-&quot;??_-;_-@_-">
                  <c:v>129700</c:v>
                </c:pt>
                <c:pt idx="50" formatCode="_-&quot;£&quot;* #,##0_-;\-&quot;£&quot;* #,##0_-;_-&quot;£&quot;* &quot;-&quot;??_-;_-@_-">
                  <c:v>232800</c:v>
                </c:pt>
                <c:pt idx="51" formatCode="_-&quot;£&quot;* #,##0_-;\-&quot;£&quot;* #,##0_-;_-&quot;£&quot;* &quot;-&quot;??_-;_-@_-">
                  <c:v>177100</c:v>
                </c:pt>
                <c:pt idx="52" formatCode="_-&quot;£&quot;* #,##0_-;\-&quot;£&quot;* #,##0_-;_-&quot;£&quot;* &quot;-&quot;??_-;_-@_-">
                  <c:v>327500</c:v>
                </c:pt>
                <c:pt idx="53" formatCode="_-&quot;£&quot;* #,##0_-;\-&quot;£&quot;* #,##0_-;_-&quot;£&quot;* &quot;-&quot;??_-;_-@_-">
                  <c:v>271700</c:v>
                </c:pt>
                <c:pt idx="54" formatCode="_-&quot;£&quot;* #,##0_-;\-&quot;£&quot;* #,##0_-;_-&quot;£&quot;* &quot;-&quot;??_-;_-@_-">
                  <c:v>143900</c:v>
                </c:pt>
                <c:pt idx="55" formatCode="_-&quot;£&quot;* #,##0_-;\-&quot;£&quot;* #,##0_-;_-&quot;£&quot;* &quot;-&quot;??_-;_-@_-">
                  <c:v>110400</c:v>
                </c:pt>
                <c:pt idx="56" formatCode="_-&quot;£&quot;* #,##0_-;\-&quot;£&quot;* #,##0_-;_-&quot;£&quot;* &quot;-&quot;??_-;_-@_-">
                  <c:v>191200</c:v>
                </c:pt>
                <c:pt idx="57" formatCode="_-&quot;£&quot;* #,##0_-;\-&quot;£&quot;* #,##0_-;_-&quot;£&quot;* &quot;-&quot;??_-;_-@_-">
                  <c:v>157700</c:v>
                </c:pt>
                <c:pt idx="58" formatCode="_-&quot;£&quot;* #,##0_-;\-&quot;£&quot;* #,##0_-;_-&quot;£&quot;* &quot;-&quot;??_-;_-@_-">
                  <c:v>285900</c:v>
                </c:pt>
                <c:pt idx="59" formatCode="_-&quot;£&quot;* #,##0_-;\-&quot;£&quot;* #,##0_-;_-&quot;£&quot;* &quot;-&quot;??_-;_-@_-">
                  <c:v>252400</c:v>
                </c:pt>
              </c:numCache>
            </c:numRef>
          </c:val>
          <c:extLst>
            <c:ext xmlns:c16="http://schemas.microsoft.com/office/drawing/2014/chart" uri="{C3380CC4-5D6E-409C-BE32-E72D297353CC}">
              <c16:uniqueId val="{00000005-3636-48EF-A728-FFE88D19AC4E}"/>
            </c:ext>
          </c:extLst>
        </c:ser>
        <c:ser>
          <c:idx val="6"/>
          <c:order val="5"/>
          <c:tx>
            <c:strRef>
              <c:f>'Model Results - tables (draft)'!$AG$4</c:f>
              <c:strCache>
                <c:ptCount val="1"/>
                <c:pt idx="0">
                  <c:v>500kW, 
£500/acre (no grant)</c:v>
                </c:pt>
              </c:strCache>
            </c:strRef>
          </c:tx>
          <c:spPr>
            <a:solidFill>
              <a:schemeClr val="accent5">
                <a:lumMod val="50000"/>
              </a:schemeClr>
            </a:solidFill>
            <a:ln>
              <a:solidFill>
                <a:schemeClr val="bg1"/>
              </a:solidFill>
            </a:ln>
            <a:effectLst/>
          </c:spPr>
          <c:invertIfNegative val="0"/>
          <c:cat>
            <c:strRef>
              <c:f>'Model Results - tables (draft)'!$Z$5:$Z$88</c:f>
              <c:strCache>
                <c:ptCount val="84"/>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pt idx="12">
                  <c:v> 9p, low£ </c:v>
                </c:pt>
                <c:pt idx="13">
                  <c:v> 9p, low£ </c:v>
                </c:pt>
                <c:pt idx="14">
                  <c:v> 10p, low£ </c:v>
                </c:pt>
                <c:pt idx="15">
                  <c:v> 10p, high£ </c:v>
                </c:pt>
                <c:pt idx="16">
                  <c:v> 12p, low£ </c:v>
                </c:pt>
                <c:pt idx="17">
                  <c:v> 12p, low£ </c:v>
                </c:pt>
                <c:pt idx="18">
                  <c:v> 9p, mid£, grid+ </c:v>
                </c:pt>
                <c:pt idx="19">
                  <c:v> 9p, high£, grid+ </c:v>
                </c:pt>
                <c:pt idx="20">
                  <c:v> 10p, mid£, grid+ </c:v>
                </c:pt>
                <c:pt idx="21">
                  <c:v> 10p, high£, grid+ </c:v>
                </c:pt>
                <c:pt idx="22">
                  <c:v> 12p, mid£, grid+ </c:v>
                </c:pt>
                <c:pt idx="23">
                  <c:v> 12p, high£, grid+ </c:v>
                </c:pt>
                <c:pt idx="24">
                  <c:v> 9p, low£ </c:v>
                </c:pt>
                <c:pt idx="25">
                  <c:v> 9p, low£ </c:v>
                </c:pt>
                <c:pt idx="26">
                  <c:v> 10p, low£ </c:v>
                </c:pt>
                <c:pt idx="27">
                  <c:v> 10p, high£ </c:v>
                </c:pt>
                <c:pt idx="28">
                  <c:v> 12p, low£ </c:v>
                </c:pt>
                <c:pt idx="29">
                  <c:v> 12p, low£ </c:v>
                </c:pt>
                <c:pt idx="30">
                  <c:v> 9p, mid£, grid+ </c:v>
                </c:pt>
                <c:pt idx="31">
                  <c:v> 9p, high£, grid+ </c:v>
                </c:pt>
                <c:pt idx="32">
                  <c:v> 10p, mid£, grid+ </c:v>
                </c:pt>
                <c:pt idx="33">
                  <c:v> 10p, high£, grid+ </c:v>
                </c:pt>
                <c:pt idx="34">
                  <c:v> 12p, mid£, grid+ </c:v>
                </c:pt>
                <c:pt idx="35">
                  <c:v> 12p, high£, grid+ </c:v>
                </c:pt>
                <c:pt idx="36">
                  <c:v> 9p, low£ </c:v>
                </c:pt>
                <c:pt idx="37">
                  <c:v> 9p, low£ </c:v>
                </c:pt>
                <c:pt idx="38">
                  <c:v> 10p, low£ </c:v>
                </c:pt>
                <c:pt idx="39">
                  <c:v> 10p, high£ </c:v>
                </c:pt>
                <c:pt idx="40">
                  <c:v> 12p, low£ </c:v>
                </c:pt>
                <c:pt idx="41">
                  <c:v> 12p, low£ </c:v>
                </c:pt>
                <c:pt idx="42">
                  <c:v> 9p, mid£, grid+ </c:v>
                </c:pt>
                <c:pt idx="43">
                  <c:v> 9p, high£, grid+ </c:v>
                </c:pt>
                <c:pt idx="44">
                  <c:v> 10p, mid£, grid+ </c:v>
                </c:pt>
                <c:pt idx="45">
                  <c:v> 10p, high£, grid+ </c:v>
                </c:pt>
                <c:pt idx="46">
                  <c:v> 12p, mid£, grid+ </c:v>
                </c:pt>
                <c:pt idx="47">
                  <c:v> 12p, high£, grid+ </c:v>
                </c:pt>
                <c:pt idx="48">
                  <c:v> 9p, low£ </c:v>
                </c:pt>
                <c:pt idx="49">
                  <c:v> 9p, low£ </c:v>
                </c:pt>
                <c:pt idx="50">
                  <c:v> 10p, low£ </c:v>
                </c:pt>
                <c:pt idx="51">
                  <c:v> 10p, high£ </c:v>
                </c:pt>
                <c:pt idx="52">
                  <c:v> 12p, low£ </c:v>
                </c:pt>
                <c:pt idx="53">
                  <c:v> 12p, low£ </c:v>
                </c:pt>
                <c:pt idx="54">
                  <c:v> 9p, mid£, grid+ </c:v>
                </c:pt>
                <c:pt idx="55">
                  <c:v> 9p, high£, grid+ </c:v>
                </c:pt>
                <c:pt idx="56">
                  <c:v> 10p, mid£, grid+ </c:v>
                </c:pt>
                <c:pt idx="57">
                  <c:v> 10p, high£, grid+ </c:v>
                </c:pt>
                <c:pt idx="58">
                  <c:v> 12p, mid£, grid+ </c:v>
                </c:pt>
                <c:pt idx="59">
                  <c:v> 12p, high£, grid+ </c:v>
                </c:pt>
                <c:pt idx="60">
                  <c:v> 9p, low£ </c:v>
                </c:pt>
                <c:pt idx="61">
                  <c:v> 9p, low£ </c:v>
                </c:pt>
                <c:pt idx="62">
                  <c:v> 10p, low£ </c:v>
                </c:pt>
                <c:pt idx="63">
                  <c:v> 10p, high£ </c:v>
                </c:pt>
                <c:pt idx="64">
                  <c:v> 12p, low£ </c:v>
                </c:pt>
                <c:pt idx="65">
                  <c:v> 12p, low£ </c:v>
                </c:pt>
                <c:pt idx="66">
                  <c:v> 9p, mid£, grid+ </c:v>
                </c:pt>
                <c:pt idx="67">
                  <c:v> 9p, high£, grid+ </c:v>
                </c:pt>
                <c:pt idx="68">
                  <c:v> 10p, mid£, grid+ </c:v>
                </c:pt>
                <c:pt idx="69">
                  <c:v> 10p, high£, grid+ </c:v>
                </c:pt>
                <c:pt idx="70">
                  <c:v> 12p, mid£, grid+ </c:v>
                </c:pt>
                <c:pt idx="71">
                  <c:v> 12p, high£, grid+ </c:v>
                </c:pt>
                <c:pt idx="72">
                  <c:v> 9p, low£ </c:v>
                </c:pt>
                <c:pt idx="73">
                  <c:v> 9p, low£ </c:v>
                </c:pt>
                <c:pt idx="74">
                  <c:v> 10p, low£ </c:v>
                </c:pt>
                <c:pt idx="75">
                  <c:v> 10p, high£ </c:v>
                </c:pt>
                <c:pt idx="76">
                  <c:v> 12p, low£ </c:v>
                </c:pt>
                <c:pt idx="77">
                  <c:v> 12p, low£ </c:v>
                </c:pt>
                <c:pt idx="78">
                  <c:v> 9p, mid£, grid+ </c:v>
                </c:pt>
                <c:pt idx="79">
                  <c:v> 9p, high£, grid+ </c:v>
                </c:pt>
                <c:pt idx="80">
                  <c:v> 10p, mid£, grid+ </c:v>
                </c:pt>
                <c:pt idx="81">
                  <c:v> 10p, high£, grid+ </c:v>
                </c:pt>
                <c:pt idx="82">
                  <c:v> 12p, mid£, grid+ </c:v>
                </c:pt>
                <c:pt idx="83">
                  <c:v> 12p, high£, grid+ </c:v>
                </c:pt>
              </c:strCache>
            </c:strRef>
          </c:cat>
          <c:val>
            <c:numRef>
              <c:f>'Model Results - tables (draft)'!$AG$5:$AG$88</c:f>
              <c:numCache>
                <c:formatCode>General</c:formatCode>
                <c:ptCount val="84"/>
                <c:pt idx="72" formatCode="_-&quot;£&quot;* #,##0_-;\-&quot;£&quot;* #,##0_-;_-&quot;£&quot;* &quot;-&quot;??_-;_-@_-">
                  <c:v>-29700</c:v>
                </c:pt>
                <c:pt idx="73" formatCode="_-&quot;£&quot;* #,##0_-;\-&quot;£&quot;* #,##0_-;_-&quot;£&quot;* &quot;-&quot;??_-;_-@_-">
                  <c:v>-122000</c:v>
                </c:pt>
                <c:pt idx="74" formatCode="_-&quot;£&quot;* #,##0_-;\-&quot;£&quot;* #,##0_-;_-&quot;£&quot;* &quot;-&quot;??_-;_-@_-">
                  <c:v>17700</c:v>
                </c:pt>
                <c:pt idx="75" formatCode="_-&quot;£&quot;* #,##0_-;\-&quot;£&quot;* #,##0_-;_-&quot;£&quot;* &quot;-&quot;??_-;_-@_-">
                  <c:v>-74700</c:v>
                </c:pt>
                <c:pt idx="76" formatCode="_-&quot;£&quot;* #,##0_-;\-&quot;£&quot;* #,##0_-;_-&quot;£&quot;* &quot;-&quot;??_-;_-@_-">
                  <c:v>112300</c:v>
                </c:pt>
                <c:pt idx="77" formatCode="_-&quot;£&quot;* #,##0_-;\-&quot;£&quot;* #,##0_-;_-&quot;£&quot;* &quot;-&quot;??_-;_-@_-">
                  <c:v>20000</c:v>
                </c:pt>
                <c:pt idx="78" formatCode="_-&quot;£&quot;* #,##0_-;\-&quot;£&quot;* #,##0_-;_-&quot;£&quot;* &quot;-&quot;??_-;_-@_-">
                  <c:v>-85900</c:v>
                </c:pt>
                <c:pt idx="79" formatCode="_-&quot;£&quot;* #,##0_-;\-&quot;£&quot;* #,##0_-;_-&quot;£&quot;* &quot;-&quot;??_-;_-@_-">
                  <c:v>-141400</c:v>
                </c:pt>
                <c:pt idx="80" formatCode="_-&quot;£&quot;* #,##0_-;\-&quot;£&quot;* #,##0_-;_-&quot;£&quot;* &quot;-&quot;??_-;_-@_-">
                  <c:v>-38600</c:v>
                </c:pt>
                <c:pt idx="81" formatCode="_-&quot;£&quot;* #,##0_-;\-&quot;£&quot;* #,##0_-;_-&quot;£&quot;* &quot;-&quot;??_-;_-@_-">
                  <c:v>-94000</c:v>
                </c:pt>
                <c:pt idx="82" formatCode="_-&quot;£&quot;* #,##0_-;\-&quot;£&quot;* #,##0_-;_-&quot;£&quot;* &quot;-&quot;??_-;_-@_-">
                  <c:v>56100</c:v>
                </c:pt>
                <c:pt idx="83" formatCode="_-&quot;£&quot;* #,##0_-;\-&quot;£&quot;* #,##0_-;_-&quot;£&quot;* &quot;-&quot;??_-;_-@_-">
                  <c:v>700</c:v>
                </c:pt>
              </c:numCache>
            </c:numRef>
          </c:val>
          <c:extLst>
            <c:ext xmlns:c16="http://schemas.microsoft.com/office/drawing/2014/chart" uri="{C3380CC4-5D6E-409C-BE32-E72D297353CC}">
              <c16:uniqueId val="{00000006-3636-48EF-A728-FFE88D19AC4E}"/>
            </c:ext>
          </c:extLst>
        </c:ser>
        <c:ser>
          <c:idx val="8"/>
          <c:order val="6"/>
          <c:tx>
            <c:strRef>
              <c:f>'Model Results - tables (draft)'!$AF$4</c:f>
              <c:strCache>
                <c:ptCount val="1"/>
                <c:pt idx="0">
                  <c:v>300kW, 
£1000/acre (no export)</c:v>
                </c:pt>
              </c:strCache>
            </c:strRef>
          </c:tx>
          <c:spPr>
            <a:solidFill>
              <a:schemeClr val="accent3">
                <a:lumMod val="60000"/>
              </a:schemeClr>
            </a:solidFill>
            <a:ln>
              <a:solidFill>
                <a:schemeClr val="bg1"/>
              </a:solidFill>
            </a:ln>
            <a:effectLst/>
          </c:spPr>
          <c:invertIfNegative val="0"/>
          <c:cat>
            <c:strRef>
              <c:f>'Model Results - tables (draft)'!$Z$5:$Z$88</c:f>
              <c:strCache>
                <c:ptCount val="84"/>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pt idx="12">
                  <c:v> 9p, low£ </c:v>
                </c:pt>
                <c:pt idx="13">
                  <c:v> 9p, low£ </c:v>
                </c:pt>
                <c:pt idx="14">
                  <c:v> 10p, low£ </c:v>
                </c:pt>
                <c:pt idx="15">
                  <c:v> 10p, high£ </c:v>
                </c:pt>
                <c:pt idx="16">
                  <c:v> 12p, low£ </c:v>
                </c:pt>
                <c:pt idx="17">
                  <c:v> 12p, low£ </c:v>
                </c:pt>
                <c:pt idx="18">
                  <c:v> 9p, mid£, grid+ </c:v>
                </c:pt>
                <c:pt idx="19">
                  <c:v> 9p, high£, grid+ </c:v>
                </c:pt>
                <c:pt idx="20">
                  <c:v> 10p, mid£, grid+ </c:v>
                </c:pt>
                <c:pt idx="21">
                  <c:v> 10p, high£, grid+ </c:v>
                </c:pt>
                <c:pt idx="22">
                  <c:v> 12p, mid£, grid+ </c:v>
                </c:pt>
                <c:pt idx="23">
                  <c:v> 12p, high£, grid+ </c:v>
                </c:pt>
                <c:pt idx="24">
                  <c:v> 9p, low£ </c:v>
                </c:pt>
                <c:pt idx="25">
                  <c:v> 9p, low£ </c:v>
                </c:pt>
                <c:pt idx="26">
                  <c:v> 10p, low£ </c:v>
                </c:pt>
                <c:pt idx="27">
                  <c:v> 10p, high£ </c:v>
                </c:pt>
                <c:pt idx="28">
                  <c:v> 12p, low£ </c:v>
                </c:pt>
                <c:pt idx="29">
                  <c:v> 12p, low£ </c:v>
                </c:pt>
                <c:pt idx="30">
                  <c:v> 9p, mid£, grid+ </c:v>
                </c:pt>
                <c:pt idx="31">
                  <c:v> 9p, high£, grid+ </c:v>
                </c:pt>
                <c:pt idx="32">
                  <c:v> 10p, mid£, grid+ </c:v>
                </c:pt>
                <c:pt idx="33">
                  <c:v> 10p, high£, grid+ </c:v>
                </c:pt>
                <c:pt idx="34">
                  <c:v> 12p, mid£, grid+ </c:v>
                </c:pt>
                <c:pt idx="35">
                  <c:v> 12p, high£, grid+ </c:v>
                </c:pt>
                <c:pt idx="36">
                  <c:v> 9p, low£ </c:v>
                </c:pt>
                <c:pt idx="37">
                  <c:v> 9p, low£ </c:v>
                </c:pt>
                <c:pt idx="38">
                  <c:v> 10p, low£ </c:v>
                </c:pt>
                <c:pt idx="39">
                  <c:v> 10p, high£ </c:v>
                </c:pt>
                <c:pt idx="40">
                  <c:v> 12p, low£ </c:v>
                </c:pt>
                <c:pt idx="41">
                  <c:v> 12p, low£ </c:v>
                </c:pt>
                <c:pt idx="42">
                  <c:v> 9p, mid£, grid+ </c:v>
                </c:pt>
                <c:pt idx="43">
                  <c:v> 9p, high£, grid+ </c:v>
                </c:pt>
                <c:pt idx="44">
                  <c:v> 10p, mid£, grid+ </c:v>
                </c:pt>
                <c:pt idx="45">
                  <c:v> 10p, high£, grid+ </c:v>
                </c:pt>
                <c:pt idx="46">
                  <c:v> 12p, mid£, grid+ </c:v>
                </c:pt>
                <c:pt idx="47">
                  <c:v> 12p, high£, grid+ </c:v>
                </c:pt>
                <c:pt idx="48">
                  <c:v> 9p, low£ </c:v>
                </c:pt>
                <c:pt idx="49">
                  <c:v> 9p, low£ </c:v>
                </c:pt>
                <c:pt idx="50">
                  <c:v> 10p, low£ </c:v>
                </c:pt>
                <c:pt idx="51">
                  <c:v> 10p, high£ </c:v>
                </c:pt>
                <c:pt idx="52">
                  <c:v> 12p, low£ </c:v>
                </c:pt>
                <c:pt idx="53">
                  <c:v> 12p, low£ </c:v>
                </c:pt>
                <c:pt idx="54">
                  <c:v> 9p, mid£, grid+ </c:v>
                </c:pt>
                <c:pt idx="55">
                  <c:v> 9p, high£, grid+ </c:v>
                </c:pt>
                <c:pt idx="56">
                  <c:v> 10p, mid£, grid+ </c:v>
                </c:pt>
                <c:pt idx="57">
                  <c:v> 10p, high£, grid+ </c:v>
                </c:pt>
                <c:pt idx="58">
                  <c:v> 12p, mid£, grid+ </c:v>
                </c:pt>
                <c:pt idx="59">
                  <c:v> 12p, high£, grid+ </c:v>
                </c:pt>
                <c:pt idx="60">
                  <c:v> 9p, low£ </c:v>
                </c:pt>
                <c:pt idx="61">
                  <c:v> 9p, low£ </c:v>
                </c:pt>
                <c:pt idx="62">
                  <c:v> 10p, low£ </c:v>
                </c:pt>
                <c:pt idx="63">
                  <c:v> 10p, high£ </c:v>
                </c:pt>
                <c:pt idx="64">
                  <c:v> 12p, low£ </c:v>
                </c:pt>
                <c:pt idx="65">
                  <c:v> 12p, low£ </c:v>
                </c:pt>
                <c:pt idx="66">
                  <c:v> 9p, mid£, grid+ </c:v>
                </c:pt>
                <c:pt idx="67">
                  <c:v> 9p, high£, grid+ </c:v>
                </c:pt>
                <c:pt idx="68">
                  <c:v> 10p, mid£, grid+ </c:v>
                </c:pt>
                <c:pt idx="69">
                  <c:v> 10p, high£, grid+ </c:v>
                </c:pt>
                <c:pt idx="70">
                  <c:v> 12p, mid£, grid+ </c:v>
                </c:pt>
                <c:pt idx="71">
                  <c:v> 12p, high£, grid+ </c:v>
                </c:pt>
                <c:pt idx="72">
                  <c:v> 9p, low£ </c:v>
                </c:pt>
                <c:pt idx="73">
                  <c:v> 9p, low£ </c:v>
                </c:pt>
                <c:pt idx="74">
                  <c:v> 10p, low£ </c:v>
                </c:pt>
                <c:pt idx="75">
                  <c:v> 10p, high£ </c:v>
                </c:pt>
                <c:pt idx="76">
                  <c:v> 12p, low£ </c:v>
                </c:pt>
                <c:pt idx="77">
                  <c:v> 12p, low£ </c:v>
                </c:pt>
                <c:pt idx="78">
                  <c:v> 9p, mid£, grid+ </c:v>
                </c:pt>
                <c:pt idx="79">
                  <c:v> 9p, high£, grid+ </c:v>
                </c:pt>
                <c:pt idx="80">
                  <c:v> 10p, mid£, grid+ </c:v>
                </c:pt>
                <c:pt idx="81">
                  <c:v> 10p, high£, grid+ </c:v>
                </c:pt>
                <c:pt idx="82">
                  <c:v> 12p, mid£, grid+ </c:v>
                </c:pt>
                <c:pt idx="83">
                  <c:v> 12p, high£, grid+ </c:v>
                </c:pt>
              </c:strCache>
            </c:strRef>
          </c:cat>
          <c:val>
            <c:numRef>
              <c:f>'Model Results - tables (draft)'!$AF$5:$AF$88</c:f>
              <c:numCache>
                <c:formatCode>General</c:formatCode>
                <c:ptCount val="84"/>
                <c:pt idx="60" formatCode="_-&quot;£&quot;* #,##0_-;\-&quot;£&quot;* #,##0_-;_-&quot;£&quot;* &quot;-&quot;??_-;_-@_-">
                  <c:v>173100</c:v>
                </c:pt>
                <c:pt idx="61" formatCode="_-&quot;£&quot;* #,##0_-;\-&quot;£&quot;* #,##0_-;_-&quot;£&quot;* &quot;-&quot;??_-;_-@_-">
                  <c:v>117300</c:v>
                </c:pt>
                <c:pt idx="62" formatCode="_-&quot;£&quot;* #,##0_-;\-&quot;£&quot;* #,##0_-;_-&quot;£&quot;* &quot;-&quot;??_-;_-@_-">
                  <c:v>220400</c:v>
                </c:pt>
                <c:pt idx="63" formatCode="_-&quot;£&quot;* #,##0_-;\-&quot;£&quot;* #,##0_-;_-&quot;£&quot;* &quot;-&quot;??_-;_-@_-">
                  <c:v>164600</c:v>
                </c:pt>
                <c:pt idx="64" formatCode="_-&quot;£&quot;* #,##0_-;\-&quot;£&quot;* #,##0_-;_-&quot;£&quot;* &quot;-&quot;??_-;_-@_-">
                  <c:v>315100</c:v>
                </c:pt>
                <c:pt idx="65" formatCode="_-&quot;£&quot;* #,##0_-;\-&quot;£&quot;* #,##0_-;_-&quot;£&quot;* &quot;-&quot;??_-;_-@_-">
                  <c:v>259300</c:v>
                </c:pt>
                <c:pt idx="66" formatCode="_-&quot;£&quot;* #,##0_-;\-&quot;£&quot;* #,##0_-;_-&quot;£&quot;* &quot;-&quot;??_-;_-@_-">
                  <c:v>148800</c:v>
                </c:pt>
                <c:pt idx="67" formatCode="_-&quot;£&quot;* #,##0_-;\-&quot;£&quot;* #,##0_-;_-&quot;£&quot;* &quot;-&quot;??_-;_-@_-">
                  <c:v>115400</c:v>
                </c:pt>
                <c:pt idx="68" formatCode="_-&quot;£&quot;* #,##0_-;\-&quot;£&quot;* #,##0_-;_-&quot;£&quot;* &quot;-&quot;??_-;_-@_-">
                  <c:v>196200</c:v>
                </c:pt>
                <c:pt idx="69" formatCode="_-&quot;£&quot;* #,##0_-;\-&quot;£&quot;* #,##0_-;_-&quot;£&quot;* &quot;-&quot;??_-;_-@_-">
                  <c:v>162700</c:v>
                </c:pt>
                <c:pt idx="70" formatCode="_-&quot;£&quot;* #,##0_-;\-&quot;£&quot;* #,##0_-;_-&quot;£&quot;* &quot;-&quot;??_-;_-@_-">
                  <c:v>290800</c:v>
                </c:pt>
                <c:pt idx="71" formatCode="_-&quot;£&quot;* #,##0_-;\-&quot;£&quot;* #,##0_-;_-&quot;£&quot;* &quot;-&quot;??_-;_-@_-">
                  <c:v>257400</c:v>
                </c:pt>
              </c:numCache>
            </c:numRef>
          </c:val>
          <c:extLst>
            <c:ext xmlns:c16="http://schemas.microsoft.com/office/drawing/2014/chart" uri="{C3380CC4-5D6E-409C-BE32-E72D297353CC}">
              <c16:uniqueId val="{00000007-3636-48EF-A728-FFE88D19AC4E}"/>
            </c:ext>
          </c:extLst>
        </c:ser>
        <c:ser>
          <c:idx val="4"/>
          <c:order val="7"/>
          <c:tx>
            <c:strRef>
              <c:f>'Model Results - tables (draft)'!$U$4</c:f>
              <c:strCache>
                <c:ptCount val="1"/>
                <c:pt idx="0">
                  <c:v>(IRR)</c:v>
                </c:pt>
              </c:strCache>
            </c:strRef>
          </c:tx>
          <c:spPr>
            <a:noFill/>
            <a:ln>
              <a:noFill/>
            </a:ln>
            <a:effectLst/>
          </c:spPr>
          <c:invertIfNegative val="0"/>
          <c:dLbls>
            <c:numFmt formatCode="\(##.#%\)" sourceLinked="0"/>
            <c:spPr>
              <a:noFill/>
              <a:ln>
                <a:noFill/>
              </a:ln>
              <a:effectLst/>
            </c:spPr>
            <c:txPr>
              <a:bodyPr rot="0" spcFirstLastPara="1" vertOverflow="ellipsis" vert="horz" wrap="square" lIns="38100" tIns="19050" rIns="38100" bIns="19050" anchor="ctr" anchorCtr="1">
                <a:spAutoFit/>
              </a:bodyPr>
              <a:lstStyle/>
              <a:p>
                <a:pPr>
                  <a:defRPr sz="700" b="0" i="1" u="none" strike="noStrike" kern="1200" baseline="0">
                    <a:solidFill>
                      <a:schemeClr val="accent4"/>
                    </a:solidFill>
                    <a:latin typeface="Century Gothic" panose="020B0502020202020204" pitchFamily="34" charset="0"/>
                    <a:ea typeface="+mn-ea"/>
                    <a:cs typeface="Poppins" panose="00000500000000000000" pitchFamily="2" charset="0"/>
                  </a:defRPr>
                </a:pPr>
                <a:endParaRPr lang="en-US"/>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'Model Results - tables (draft)'!$Z$5:$Z$88</c:f>
              <c:strCache>
                <c:ptCount val="84"/>
                <c:pt idx="0">
                  <c:v> 9p, low£ </c:v>
                </c:pt>
                <c:pt idx="1">
                  <c:v> 9p, low£ </c:v>
                </c:pt>
                <c:pt idx="2">
                  <c:v> 10p, low£ </c:v>
                </c:pt>
                <c:pt idx="3">
                  <c:v> 10p, high£ </c:v>
                </c:pt>
                <c:pt idx="4">
                  <c:v> 12p, low£ </c:v>
                </c:pt>
                <c:pt idx="5">
                  <c:v> 12p, low£ </c:v>
                </c:pt>
                <c:pt idx="6">
                  <c:v> 9p, mid£, grid+ </c:v>
                </c:pt>
                <c:pt idx="7">
                  <c:v> 9p, high£, grid+ </c:v>
                </c:pt>
                <c:pt idx="8">
                  <c:v> 10p, mid£, grid+ </c:v>
                </c:pt>
                <c:pt idx="9">
                  <c:v> 10p, high£, grid+ </c:v>
                </c:pt>
                <c:pt idx="10">
                  <c:v> 12p, mid£, grid+ </c:v>
                </c:pt>
                <c:pt idx="11">
                  <c:v> 12p, high£, grid+ </c:v>
                </c:pt>
                <c:pt idx="12">
                  <c:v> 9p, low£ </c:v>
                </c:pt>
                <c:pt idx="13">
                  <c:v> 9p, low£ </c:v>
                </c:pt>
                <c:pt idx="14">
                  <c:v> 10p, low£ </c:v>
                </c:pt>
                <c:pt idx="15">
                  <c:v> 10p, high£ </c:v>
                </c:pt>
                <c:pt idx="16">
                  <c:v> 12p, low£ </c:v>
                </c:pt>
                <c:pt idx="17">
                  <c:v> 12p, low£ </c:v>
                </c:pt>
                <c:pt idx="18">
                  <c:v> 9p, mid£, grid+ </c:v>
                </c:pt>
                <c:pt idx="19">
                  <c:v> 9p, high£, grid+ </c:v>
                </c:pt>
                <c:pt idx="20">
                  <c:v> 10p, mid£, grid+ </c:v>
                </c:pt>
                <c:pt idx="21">
                  <c:v> 10p, high£, grid+ </c:v>
                </c:pt>
                <c:pt idx="22">
                  <c:v> 12p, mid£, grid+ </c:v>
                </c:pt>
                <c:pt idx="23">
                  <c:v> 12p, high£, grid+ </c:v>
                </c:pt>
                <c:pt idx="24">
                  <c:v> 9p, low£ </c:v>
                </c:pt>
                <c:pt idx="25">
                  <c:v> 9p, low£ </c:v>
                </c:pt>
                <c:pt idx="26">
                  <c:v> 10p, low£ </c:v>
                </c:pt>
                <c:pt idx="27">
                  <c:v> 10p, high£ </c:v>
                </c:pt>
                <c:pt idx="28">
                  <c:v> 12p, low£ </c:v>
                </c:pt>
                <c:pt idx="29">
                  <c:v> 12p, low£ </c:v>
                </c:pt>
                <c:pt idx="30">
                  <c:v> 9p, mid£, grid+ </c:v>
                </c:pt>
                <c:pt idx="31">
                  <c:v> 9p, high£, grid+ </c:v>
                </c:pt>
                <c:pt idx="32">
                  <c:v> 10p, mid£, grid+ </c:v>
                </c:pt>
                <c:pt idx="33">
                  <c:v> 10p, high£, grid+ </c:v>
                </c:pt>
                <c:pt idx="34">
                  <c:v> 12p, mid£, grid+ </c:v>
                </c:pt>
                <c:pt idx="35">
                  <c:v> 12p, high£, grid+ </c:v>
                </c:pt>
                <c:pt idx="36">
                  <c:v> 9p, low£ </c:v>
                </c:pt>
                <c:pt idx="37">
                  <c:v> 9p, low£ </c:v>
                </c:pt>
                <c:pt idx="38">
                  <c:v> 10p, low£ </c:v>
                </c:pt>
                <c:pt idx="39">
                  <c:v> 10p, high£ </c:v>
                </c:pt>
                <c:pt idx="40">
                  <c:v> 12p, low£ </c:v>
                </c:pt>
                <c:pt idx="41">
                  <c:v> 12p, low£ </c:v>
                </c:pt>
                <c:pt idx="42">
                  <c:v> 9p, mid£, grid+ </c:v>
                </c:pt>
                <c:pt idx="43">
                  <c:v> 9p, high£, grid+ </c:v>
                </c:pt>
                <c:pt idx="44">
                  <c:v> 10p, mid£, grid+ </c:v>
                </c:pt>
                <c:pt idx="45">
                  <c:v> 10p, high£, grid+ </c:v>
                </c:pt>
                <c:pt idx="46">
                  <c:v> 12p, mid£, grid+ </c:v>
                </c:pt>
                <c:pt idx="47">
                  <c:v> 12p, high£, grid+ </c:v>
                </c:pt>
                <c:pt idx="48">
                  <c:v> 9p, low£ </c:v>
                </c:pt>
                <c:pt idx="49">
                  <c:v> 9p, low£ </c:v>
                </c:pt>
                <c:pt idx="50">
                  <c:v> 10p, low£ </c:v>
                </c:pt>
                <c:pt idx="51">
                  <c:v> 10p, high£ </c:v>
                </c:pt>
                <c:pt idx="52">
                  <c:v> 12p, low£ </c:v>
                </c:pt>
                <c:pt idx="53">
                  <c:v> 12p, low£ </c:v>
                </c:pt>
                <c:pt idx="54">
                  <c:v> 9p, mid£, grid+ </c:v>
                </c:pt>
                <c:pt idx="55">
                  <c:v> 9p, high£, grid+ </c:v>
                </c:pt>
                <c:pt idx="56">
                  <c:v> 10p, mid£, grid+ </c:v>
                </c:pt>
                <c:pt idx="57">
                  <c:v> 10p, high£, grid+ </c:v>
                </c:pt>
                <c:pt idx="58">
                  <c:v> 12p, mid£, grid+ </c:v>
                </c:pt>
                <c:pt idx="59">
                  <c:v> 12p, high£, grid+ </c:v>
                </c:pt>
                <c:pt idx="60">
                  <c:v> 9p, low£ </c:v>
                </c:pt>
                <c:pt idx="61">
                  <c:v> 9p, low£ </c:v>
                </c:pt>
                <c:pt idx="62">
                  <c:v> 10p, low£ </c:v>
                </c:pt>
                <c:pt idx="63">
                  <c:v> 10p, high£ </c:v>
                </c:pt>
                <c:pt idx="64">
                  <c:v> 12p, low£ </c:v>
                </c:pt>
                <c:pt idx="65">
                  <c:v> 12p, low£ </c:v>
                </c:pt>
                <c:pt idx="66">
                  <c:v> 9p, mid£, grid+ </c:v>
                </c:pt>
                <c:pt idx="67">
                  <c:v> 9p, high£, grid+ </c:v>
                </c:pt>
                <c:pt idx="68">
                  <c:v> 10p, mid£, grid+ </c:v>
                </c:pt>
                <c:pt idx="69">
                  <c:v> 10p, high£, grid+ </c:v>
                </c:pt>
                <c:pt idx="70">
                  <c:v> 12p, mid£, grid+ </c:v>
                </c:pt>
                <c:pt idx="71">
                  <c:v> 12p, high£, grid+ </c:v>
                </c:pt>
                <c:pt idx="72">
                  <c:v> 9p, low£ </c:v>
                </c:pt>
                <c:pt idx="73">
                  <c:v> 9p, low£ </c:v>
                </c:pt>
                <c:pt idx="74">
                  <c:v> 10p, low£ </c:v>
                </c:pt>
                <c:pt idx="75">
                  <c:v> 10p, high£ </c:v>
                </c:pt>
                <c:pt idx="76">
                  <c:v> 12p, low£ </c:v>
                </c:pt>
                <c:pt idx="77">
                  <c:v> 12p, low£ </c:v>
                </c:pt>
                <c:pt idx="78">
                  <c:v> 9p, mid£, grid+ </c:v>
                </c:pt>
                <c:pt idx="79">
                  <c:v> 9p, high£, grid+ </c:v>
                </c:pt>
                <c:pt idx="80">
                  <c:v> 10p, mid£, grid+ </c:v>
                </c:pt>
                <c:pt idx="81">
                  <c:v> 10p, high£, grid+ </c:v>
                </c:pt>
                <c:pt idx="82">
                  <c:v> 12p, mid£, grid+ </c:v>
                </c:pt>
                <c:pt idx="83">
                  <c:v> 12p, high£, grid+ </c:v>
                </c:pt>
              </c:strCache>
            </c:strRef>
          </c:cat>
          <c:val>
            <c:numRef>
              <c:f>'Model Results - tables (draft)'!$E$5:$E$88</c:f>
              <c:numCache>
                <c:formatCode>0.0%</c:formatCode>
                <c:ptCount val="84"/>
                <c:pt idx="0">
                  <c:v>0.10421577066165688</c:v>
                </c:pt>
                <c:pt idx="1">
                  <c:v>7.3542799906212597E-2</c:v>
                </c:pt>
                <c:pt idx="2">
                  <c:v>0.11732487927659663</c:v>
                </c:pt>
                <c:pt idx="3">
                  <c:v>8.4677604136556006E-2</c:v>
                </c:pt>
                <c:pt idx="4">
                  <c:v>0.14241284338737725</c:v>
                </c:pt>
                <c:pt idx="5">
                  <c:v>0.10571528824654686</c:v>
                </c:pt>
                <c:pt idx="6">
                  <c:v>8.4025485777498687E-2</c:v>
                </c:pt>
                <c:pt idx="7">
                  <c:v>6.8523194054921577E-2</c:v>
                </c:pt>
                <c:pt idx="8">
                  <c:v>9.5802138076313659E-2</c:v>
                </c:pt>
                <c:pt idx="9">
                  <c:v>7.9362991353357781E-2</c:v>
                </c:pt>
                <c:pt idx="10">
                  <c:v>0.11815328287543192</c:v>
                </c:pt>
                <c:pt idx="11">
                  <c:v>9.9798363048144489E-2</c:v>
                </c:pt>
                <c:pt idx="12">
                  <c:v>9.8383297932486347E-2</c:v>
                </c:pt>
                <c:pt idx="13">
                  <c:v>6.8505837370568701E-2</c:v>
                </c:pt>
                <c:pt idx="14">
                  <c:v>0.11172254873909893</c:v>
                </c:pt>
                <c:pt idx="15">
                  <c:v>7.9883795955875581E-2</c:v>
                </c:pt>
                <c:pt idx="16">
                  <c:v>0.13713944514858034</c:v>
                </c:pt>
                <c:pt idx="17">
                  <c:v>0.10127776413836154</c:v>
                </c:pt>
                <c:pt idx="18">
                  <c:v>7.8729389422833584E-2</c:v>
                </c:pt>
                <c:pt idx="19">
                  <c:v>6.3605542199389742E-2</c:v>
                </c:pt>
                <c:pt idx="20">
                  <c:v>9.0745523011185547E-2</c:v>
                </c:pt>
                <c:pt idx="21">
                  <c:v>7.4689957790146533E-2</c:v>
                </c:pt>
                <c:pt idx="22">
                  <c:v>0.11344488998298297</c:v>
                </c:pt>
                <c:pt idx="23">
                  <c:v>9.5484962961220443E-2</c:v>
                </c:pt>
                <c:pt idx="24">
                  <c:v>0.10776306194774188</c:v>
                </c:pt>
                <c:pt idx="25">
                  <c:v>7.2468412261148085E-2</c:v>
                </c:pt>
                <c:pt idx="26">
                  <c:v>0.12277268369144378</c:v>
                </c:pt>
                <c:pt idx="27">
                  <c:v>8.4922732983285121E-2</c:v>
                </c:pt>
                <c:pt idx="28">
                  <c:v>0.15140380627329386</c:v>
                </c:pt>
                <c:pt idx="29">
                  <c:v>0.10829478519945224</c:v>
                </c:pt>
                <c:pt idx="30">
                  <c:v>7.9907833657751004E-2</c:v>
                </c:pt>
                <c:pt idx="31">
                  <c:v>6.3452205917385207E-2</c:v>
                </c:pt>
                <c:pt idx="32">
                  <c:v>9.2864982652564709E-2</c:v>
                </c:pt>
                <c:pt idx="33">
                  <c:v>7.5323387025580946E-2</c:v>
                </c:pt>
                <c:pt idx="34">
                  <c:v>0.11726810876737503</c:v>
                </c:pt>
                <c:pt idx="35">
                  <c:v>9.7502928617341889E-2</c:v>
                </c:pt>
                <c:pt idx="36">
                  <c:v>0.10107138064548304</c:v>
                </c:pt>
                <c:pt idx="37">
                  <c:v>6.6804018899395468E-2</c:v>
                </c:pt>
                <c:pt idx="38">
                  <c:v>0.11637277941678392</c:v>
                </c:pt>
                <c:pt idx="39">
                  <c:v>7.9569326882912073E-2</c:v>
                </c:pt>
                <c:pt idx="40">
                  <c:v>0.14540336331951909</c:v>
                </c:pt>
                <c:pt idx="41">
                  <c:v>0.10338084376102774</c:v>
                </c:pt>
                <c:pt idx="42">
                  <c:v>7.4040702924951463E-2</c:v>
                </c:pt>
                <c:pt idx="43">
                  <c:v>5.8023408912808438E-2</c:v>
                </c:pt>
                <c:pt idx="44">
                  <c:v>8.730571998752068E-2</c:v>
                </c:pt>
                <c:pt idx="45">
                  <c:v>7.0208662064404903E-2</c:v>
                </c:pt>
                <c:pt idx="46">
                  <c:v>0.11214138269452856</c:v>
                </c:pt>
                <c:pt idx="47">
                  <c:v>9.283487251490774E-2</c:v>
                </c:pt>
                <c:pt idx="48">
                  <c:v>0.11908814778935173</c:v>
                </c:pt>
                <c:pt idx="49">
                  <c:v>8.1878897408004914E-2</c:v>
                </c:pt>
                <c:pt idx="50">
                  <c:v>0.13730140799431356</c:v>
                </c:pt>
                <c:pt idx="51">
                  <c:v>9.6843177966092986E-2</c:v>
                </c:pt>
                <c:pt idx="52">
                  <c:v>0.17207048273216574</c:v>
                </c:pt>
                <c:pt idx="53">
                  <c:v>0.12488200682991413</c:v>
                </c:pt>
                <c:pt idx="54">
                  <c:v>8.9695210679356707E-2</c:v>
                </c:pt>
                <c:pt idx="55">
                  <c:v>7.2425488055223752E-2</c:v>
                </c:pt>
                <c:pt idx="56">
                  <c:v>0.10529731323664149</c:v>
                </c:pt>
                <c:pt idx="57">
                  <c:v>8.665133340690323E-2</c:v>
                </c:pt>
                <c:pt idx="58">
                  <c:v>0.13465301876000746</c:v>
                </c:pt>
                <c:pt idx="59">
                  <c:v>0.11316964881210101</c:v>
                </c:pt>
                <c:pt idx="60">
                  <c:v>0.11632718042324841</c:v>
                </c:pt>
                <c:pt idx="61">
                  <c:v>7.8710168792969437E-2</c:v>
                </c:pt>
                <c:pt idx="62">
                  <c:v>0.13519008438633562</c:v>
                </c:pt>
                <c:pt idx="63">
                  <c:v>9.4174355905222829E-2</c:v>
                </c:pt>
                <c:pt idx="64">
                  <c:v>0.17108001243158588</c:v>
                </c:pt>
                <c:pt idx="65">
                  <c:v>0.1230172273323451</c:v>
                </c:pt>
                <c:pt idx="66">
                  <c:v>9.7620151176513348E-2</c:v>
                </c:pt>
                <c:pt idx="67">
                  <c:v>7.7698950643226627E-2</c:v>
                </c:pt>
                <c:pt idx="68">
                  <c:v>0.11472112312324301</c:v>
                </c:pt>
                <c:pt idx="69">
                  <c:v>9.3079836943897876E-2</c:v>
                </c:pt>
                <c:pt idx="70">
                  <c:v>0.14695065758603576</c:v>
                </c:pt>
                <c:pt idx="71">
                  <c:v>0.12175086785703271</c:v>
                </c:pt>
                <c:pt idx="72">
                  <c:v>2.7860682236890311E-2</c:v>
                </c:pt>
                <c:pt idx="73">
                  <c:v>9.9751859692134293E-3</c:v>
                </c:pt>
                <c:pt idx="74">
                  <c:v>3.9098340970497025E-2</c:v>
                </c:pt>
                <c:pt idx="75">
                  <c:v>2.0237333529373513E-2</c:v>
                </c:pt>
                <c:pt idx="76">
                  <c:v>5.9530968582685695E-2</c:v>
                </c:pt>
                <c:pt idx="77">
                  <c:v>3.8716852783294176E-2</c:v>
                </c:pt>
                <c:pt idx="78">
                  <c:v>1.6318613832181139E-2</c:v>
                </c:pt>
                <c:pt idx="79">
                  <c:v>6.8514514747310962E-3</c:v>
                </c:pt>
                <c:pt idx="80">
                  <c:v>2.6912672519812553E-2</c:v>
                </c:pt>
                <c:pt idx="81">
                  <c:v>1.6955701726262706E-2</c:v>
                </c:pt>
                <c:pt idx="82">
                  <c:v>4.6054356400303309E-2</c:v>
                </c:pt>
                <c:pt idx="83">
                  <c:v>3.5121139224735476E-2</c:v>
                </c:pt>
              </c:numCache>
            </c:numRef>
          </c:val>
          <c:extLst>
            <c:ext xmlns:c16="http://schemas.microsoft.com/office/drawing/2014/chart" uri="{C3380CC4-5D6E-409C-BE32-E72D297353CC}">
              <c16:uniqueId val="{00000004-3636-48EF-A728-FFE88D19AC4E}"/>
            </c:ext>
          </c:extLst>
        </c:ser>
        <c:dLbls>
          <c:showLegendKey val="0"/>
          <c:showVal val="0"/>
          <c:showCatName val="0"/>
          <c:showSerName val="0"/>
          <c:showPercent val="0"/>
          <c:showBubbleSize val="0"/>
        </c:dLbls>
        <c:gapWidth val="0"/>
        <c:overlap val="100"/>
        <c:axId val="626680160"/>
        <c:axId val="626680488"/>
      </c:barChart>
      <c:catAx>
        <c:axId val="62668016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500" b="0" i="0" u="none" strike="noStrike" kern="1200" baseline="0">
                <a:solidFill>
                  <a:schemeClr val="tx1">
                    <a:lumMod val="65000"/>
                    <a:lumOff val="35000"/>
                  </a:schemeClr>
                </a:solidFill>
                <a:latin typeface="Century Gothic" panose="020B0502020202020204" pitchFamily="34" charset="0"/>
                <a:ea typeface="+mn-ea"/>
                <a:cs typeface="Poppins" panose="00000500000000000000" pitchFamily="2" charset="0"/>
              </a:defRPr>
            </a:pPr>
            <a:endParaRPr lang="en-US"/>
          </a:p>
        </c:txPr>
        <c:crossAx val="626680488"/>
        <c:crosses val="autoZero"/>
        <c:auto val="0"/>
        <c:lblAlgn val="ctr"/>
        <c:lblOffset val="100"/>
        <c:noMultiLvlLbl val="0"/>
      </c:catAx>
      <c:valAx>
        <c:axId val="626680488"/>
        <c:scaling>
          <c:orientation val="minMax"/>
        </c:scaling>
        <c:delete val="0"/>
        <c:axPos val="b"/>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_-&quot;£&quot;* #,##0_-;\-&quot;£&quot;* #,##0_-;_-&quot;£&quot;*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Poppins" panose="00000500000000000000" pitchFamily="2" charset="0"/>
              </a:defRPr>
            </a:pPr>
            <a:endParaRPr lang="en-US"/>
          </a:p>
        </c:txPr>
        <c:crossAx val="626680160"/>
        <c:crosses val="autoZero"/>
        <c:crossBetween val="between"/>
      </c:valAx>
      <c:spPr>
        <a:noFill/>
        <a:ln>
          <a:noFill/>
        </a:ln>
        <a:effectLst/>
      </c:spPr>
    </c:plotArea>
    <c:legend>
      <c:legendPos val="b"/>
      <c:layout>
        <c:manualLayout>
          <c:xMode val="edge"/>
          <c:yMode val="edge"/>
          <c:x val="0"/>
          <c:y val="0.93227977510973159"/>
          <c:w val="0.99833349945180905"/>
          <c:h val="5.8651301069228501E-2"/>
        </c:manualLayout>
      </c:layout>
      <c:overlay val="0"/>
      <c:spPr>
        <a:solidFill>
          <a:schemeClr val="bg1"/>
        </a:solidFill>
        <a:ln>
          <a:noFill/>
        </a:ln>
        <a:effectLst/>
      </c:spPr>
      <c:txPr>
        <a:bodyPr rot="0" spcFirstLastPara="1" vertOverflow="ellipsis" vert="horz" wrap="square" anchor="ctr" anchorCtr="1"/>
        <a:lstStyle/>
        <a:p>
          <a:pPr>
            <a:defRPr sz="800" b="0" i="0" u="none" strike="noStrike" kern="1200" baseline="0">
              <a:solidFill>
                <a:schemeClr val="tx1">
                  <a:lumMod val="65000"/>
                  <a:lumOff val="35000"/>
                </a:schemeClr>
              </a:solidFill>
              <a:latin typeface="Century Gothic" panose="020B0502020202020204" pitchFamily="34" charset="0"/>
              <a:ea typeface="+mn-ea"/>
              <a:cs typeface="Poppins" panose="00000500000000000000" pitchFamily="2"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2020 inflation adjusted Real prices</a:t>
            </a:r>
          </a:p>
        </c:rich>
      </c:tx>
      <c:layout>
        <c:manualLayout>
          <c:xMode val="edge"/>
          <c:yMode val="edge"/>
          <c:x val="0.32427249032537075"/>
          <c:y val="5.654141938884826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lineChart>
        <c:grouping val="standard"/>
        <c:varyColors val="0"/>
        <c:ser>
          <c:idx val="2"/>
          <c:order val="0"/>
          <c:spPr>
            <a:ln w="19050" cap="rnd">
              <a:solidFill>
                <a:srgbClr val="7ADECC">
                  <a:lumMod val="50000"/>
                </a:srgbClr>
              </a:solidFill>
              <a:round/>
            </a:ln>
            <a:effectLst/>
          </c:spPr>
          <c:marker>
            <c:symbol val="none"/>
          </c:marker>
          <c:cat>
            <c:numRef>
              <c:f>'Price indexing'!$D$2:$S$2</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'Price indexing'!$D$13:$S$13</c:f>
              <c:numCache>
                <c:formatCode>0.0</c:formatCode>
                <c:ptCount val="16"/>
                <c:pt idx="0">
                  <c:v>14.279884556353993</c:v>
                </c:pt>
                <c:pt idx="1">
                  <c:v>14.055539845</c:v>
                </c:pt>
                <c:pt idx="2">
                  <c:v>14.344244009999999</c:v>
                </c:pt>
                <c:pt idx="3">
                  <c:v>14.642446029999999</c:v>
                </c:pt>
                <c:pt idx="4">
                  <c:v>14.63885033</c:v>
                </c:pt>
                <c:pt idx="5">
                  <c:v>14.613597199999999</c:v>
                </c:pt>
                <c:pt idx="6">
                  <c:v>14.699383754999999</c:v>
                </c:pt>
                <c:pt idx="7">
                  <c:v>15.101358722499999</c:v>
                </c:pt>
                <c:pt idx="8">
                  <c:v>14.58348475</c:v>
                </c:pt>
                <c:pt idx="9">
                  <c:v>14.37688575</c:v>
                </c:pt>
                <c:pt idx="10">
                  <c:v>14.478302837499999</c:v>
                </c:pt>
                <c:pt idx="11">
                  <c:v>14.351645534999999</c:v>
                </c:pt>
                <c:pt idx="12">
                  <c:v>14.360184912499999</c:v>
                </c:pt>
                <c:pt idx="13">
                  <c:v>14.0039898275</c:v>
                </c:pt>
                <c:pt idx="14">
                  <c:v>13.613145847499998</c:v>
                </c:pt>
                <c:pt idx="15">
                  <c:v>13.208179929999998</c:v>
                </c:pt>
              </c:numCache>
            </c:numRef>
          </c:val>
          <c:smooth val="0"/>
          <c:extLst>
            <c:ext xmlns:c16="http://schemas.microsoft.com/office/drawing/2014/chart" uri="{C3380CC4-5D6E-409C-BE32-E72D297353CC}">
              <c16:uniqueId val="{00000002-74A1-4F2B-A894-AD5D89869E07}"/>
            </c:ext>
          </c:extLst>
        </c:ser>
        <c:ser>
          <c:idx val="0"/>
          <c:order val="1"/>
          <c:spPr>
            <a:ln w="12700" cap="rnd">
              <a:solidFill>
                <a:sysClr val="window" lastClr="FFFFFF">
                  <a:lumMod val="75000"/>
                </a:sysClr>
              </a:solidFill>
              <a:round/>
            </a:ln>
            <a:effectLst/>
          </c:spPr>
          <c:marker>
            <c:symbol val="none"/>
          </c:marker>
          <c:cat>
            <c:numRef>
              <c:f>'Price indexing'!$D$2:$S$2</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'Price indexing'!$D$14:$S$14</c:f>
              <c:numCache>
                <c:formatCode>0.0</c:formatCode>
                <c:ptCount val="16"/>
                <c:pt idx="0">
                  <c:v>13.323303635895895</c:v>
                </c:pt>
                <c:pt idx="1">
                  <c:v>13.32957027</c:v>
                </c:pt>
                <c:pt idx="2">
                  <c:v>13.399902285</c:v>
                </c:pt>
                <c:pt idx="3">
                  <c:v>13.555779775</c:v>
                </c:pt>
                <c:pt idx="4">
                  <c:v>13.61089874</c:v>
                </c:pt>
                <c:pt idx="5">
                  <c:v>13.695756234999998</c:v>
                </c:pt>
                <c:pt idx="6">
                  <c:v>13.8105821675</c:v>
                </c:pt>
                <c:pt idx="7">
                  <c:v>14.321598069999999</c:v>
                </c:pt>
                <c:pt idx="8">
                  <c:v>13.943464499999997</c:v>
                </c:pt>
                <c:pt idx="9">
                  <c:v>13.6642955</c:v>
                </c:pt>
                <c:pt idx="10">
                  <c:v>13.769505189999999</c:v>
                </c:pt>
                <c:pt idx="11">
                  <c:v>13.768720654999999</c:v>
                </c:pt>
                <c:pt idx="12">
                  <c:v>13.848544169999998</c:v>
                </c:pt>
                <c:pt idx="13">
                  <c:v>13.55447987</c:v>
                </c:pt>
                <c:pt idx="14">
                  <c:v>13.089763832499997</c:v>
                </c:pt>
                <c:pt idx="15">
                  <c:v>12.646956862499998</c:v>
                </c:pt>
              </c:numCache>
            </c:numRef>
          </c:val>
          <c:smooth val="0"/>
          <c:extLst>
            <c:ext xmlns:c16="http://schemas.microsoft.com/office/drawing/2014/chart" uri="{C3380CC4-5D6E-409C-BE32-E72D297353CC}">
              <c16:uniqueId val="{00000021-226D-4C05-80F1-A9617FB9861D}"/>
            </c:ext>
          </c:extLst>
        </c:ser>
        <c:ser>
          <c:idx val="1"/>
          <c:order val="2"/>
          <c:spPr>
            <a:ln w="12700" cap="rnd">
              <a:solidFill>
                <a:sysClr val="window" lastClr="FFFFFF">
                  <a:lumMod val="75000"/>
                </a:sysClr>
              </a:solidFill>
              <a:round/>
            </a:ln>
            <a:effectLst/>
          </c:spPr>
          <c:marker>
            <c:symbol val="none"/>
          </c:marker>
          <c:cat>
            <c:numRef>
              <c:f>'Price indexing'!$D$2:$S$2</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'Price indexing'!$D$15:$S$15</c:f>
              <c:numCache>
                <c:formatCode>0.0</c:formatCode>
                <c:ptCount val="16"/>
                <c:pt idx="0">
                  <c:v>15.808318700089229</c:v>
                </c:pt>
                <c:pt idx="1">
                  <c:v>15.149821644999999</c:v>
                </c:pt>
                <c:pt idx="2">
                  <c:v>15.790427375</c:v>
                </c:pt>
                <c:pt idx="3">
                  <c:v>16.241741127499999</c:v>
                </c:pt>
                <c:pt idx="4">
                  <c:v>16.0158930375</c:v>
                </c:pt>
                <c:pt idx="5">
                  <c:v>15.8731170975</c:v>
                </c:pt>
                <c:pt idx="6">
                  <c:v>15.774204802499998</c:v>
                </c:pt>
                <c:pt idx="7">
                  <c:v>15.9270478825</c:v>
                </c:pt>
                <c:pt idx="8">
                  <c:v>15.428504999999998</c:v>
                </c:pt>
                <c:pt idx="9">
                  <c:v>15.051663749999998</c:v>
                </c:pt>
                <c:pt idx="10">
                  <c:v>15.06806662</c:v>
                </c:pt>
                <c:pt idx="11">
                  <c:v>14.955940537499998</c:v>
                </c:pt>
                <c:pt idx="12">
                  <c:v>14.95332771</c:v>
                </c:pt>
                <c:pt idx="13">
                  <c:v>14.586911427499999</c:v>
                </c:pt>
                <c:pt idx="14">
                  <c:v>14.0960118675</c:v>
                </c:pt>
                <c:pt idx="15">
                  <c:v>13.69888679</c:v>
                </c:pt>
              </c:numCache>
            </c:numRef>
          </c:val>
          <c:smooth val="0"/>
          <c:extLst>
            <c:ext xmlns:c16="http://schemas.microsoft.com/office/drawing/2014/chart" uri="{C3380CC4-5D6E-409C-BE32-E72D297353CC}">
              <c16:uniqueId val="{00000022-226D-4C05-80F1-A9617FB9861D}"/>
            </c:ext>
          </c:extLst>
        </c:ser>
        <c:ser>
          <c:idx val="3"/>
          <c:order val="3"/>
          <c:spPr>
            <a:ln w="12700" cap="rnd">
              <a:solidFill>
                <a:sysClr val="window" lastClr="FFFFFF">
                  <a:lumMod val="75000"/>
                </a:sysClr>
              </a:solidFill>
              <a:round/>
            </a:ln>
            <a:effectLst/>
          </c:spPr>
          <c:marker>
            <c:symbol val="none"/>
          </c:marker>
          <c:cat>
            <c:numRef>
              <c:f>'Price indexing'!$D$2:$S$2</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'Price indexing'!$D$16:$S$16</c:f>
              <c:numCache>
                <c:formatCode>0.0</c:formatCode>
                <c:ptCount val="16"/>
                <c:pt idx="0">
                  <c:v>14.295252616082008</c:v>
                </c:pt>
                <c:pt idx="1">
                  <c:v>14.077057362499998</c:v>
                </c:pt>
                <c:pt idx="2">
                  <c:v>14.360086102499999</c:v>
                </c:pt>
                <c:pt idx="3">
                  <c:v>14.674499009999998</c:v>
                </c:pt>
                <c:pt idx="4">
                  <c:v>14.6695340125</c:v>
                </c:pt>
                <c:pt idx="5">
                  <c:v>14.643927462499999</c:v>
                </c:pt>
                <c:pt idx="6">
                  <c:v>14.7439543425</c:v>
                </c:pt>
                <c:pt idx="7">
                  <c:v>15.131677914999999</c:v>
                </c:pt>
                <c:pt idx="8">
                  <c:v>14.598559117499999</c:v>
                </c:pt>
                <c:pt idx="9">
                  <c:v>14.330494045</c:v>
                </c:pt>
                <c:pt idx="10">
                  <c:v>14.462862749999999</c:v>
                </c:pt>
                <c:pt idx="11">
                  <c:v>14.381252249999999</c:v>
                </c:pt>
                <c:pt idx="12">
                  <c:v>14.400544799999999</c:v>
                </c:pt>
                <c:pt idx="13">
                  <c:v>14.024580437499997</c:v>
                </c:pt>
                <c:pt idx="14">
                  <c:v>13.603018335</c:v>
                </c:pt>
                <c:pt idx="15">
                  <c:v>13.156490204999999</c:v>
                </c:pt>
              </c:numCache>
            </c:numRef>
          </c:val>
          <c:smooth val="0"/>
          <c:extLst>
            <c:ext xmlns:c16="http://schemas.microsoft.com/office/drawing/2014/chart" uri="{C3380CC4-5D6E-409C-BE32-E72D297353CC}">
              <c16:uniqueId val="{00000023-226D-4C05-80F1-A9617FB9861D}"/>
            </c:ext>
          </c:extLst>
        </c:ser>
        <c:ser>
          <c:idx val="4"/>
          <c:order val="4"/>
          <c:spPr>
            <a:ln w="12700" cap="rnd">
              <a:solidFill>
                <a:sysClr val="window" lastClr="FFFFFF">
                  <a:lumMod val="75000"/>
                </a:sysClr>
              </a:solidFill>
              <a:round/>
            </a:ln>
            <a:effectLst/>
          </c:spPr>
          <c:marker>
            <c:symbol val="none"/>
          </c:marker>
          <c:cat>
            <c:numRef>
              <c:f>'Price indexing'!$D$2:$S$2</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'Price indexing'!$D$17:$S$17</c:f>
              <c:numCache>
                <c:formatCode>0.0</c:formatCode>
                <c:ptCount val="16"/>
                <c:pt idx="0">
                  <c:v>14.252572029408542</c:v>
                </c:pt>
                <c:pt idx="1">
                  <c:v>14.025805004999999</c:v>
                </c:pt>
                <c:pt idx="2">
                  <c:v>14.306623024999999</c:v>
                </c:pt>
                <c:pt idx="3">
                  <c:v>14.620429029999999</c:v>
                </c:pt>
                <c:pt idx="4">
                  <c:v>14.590514507499998</c:v>
                </c:pt>
                <c:pt idx="5">
                  <c:v>14.5560986975</c:v>
                </c:pt>
                <c:pt idx="6">
                  <c:v>14.64550135</c:v>
                </c:pt>
                <c:pt idx="7">
                  <c:v>15.010263999999998</c:v>
                </c:pt>
                <c:pt idx="8">
                  <c:v>14.524579947499998</c:v>
                </c:pt>
                <c:pt idx="9">
                  <c:v>14.211828154999999</c:v>
                </c:pt>
                <c:pt idx="10">
                  <c:v>14.378254329999999</c:v>
                </c:pt>
                <c:pt idx="11">
                  <c:v>14.252103582499998</c:v>
                </c:pt>
                <c:pt idx="12">
                  <c:v>14.2292565375</c:v>
                </c:pt>
                <c:pt idx="13">
                  <c:v>13.95303062</c:v>
                </c:pt>
                <c:pt idx="14">
                  <c:v>13.576228729999999</c:v>
                </c:pt>
                <c:pt idx="15">
                  <c:v>13.176528339999999</c:v>
                </c:pt>
              </c:numCache>
            </c:numRef>
          </c:val>
          <c:smooth val="0"/>
          <c:extLst>
            <c:ext xmlns:c16="http://schemas.microsoft.com/office/drawing/2014/chart" uri="{C3380CC4-5D6E-409C-BE32-E72D297353CC}">
              <c16:uniqueId val="{00000024-226D-4C05-80F1-A9617FB9861D}"/>
            </c:ext>
          </c:extLst>
        </c:ser>
        <c:ser>
          <c:idx val="5"/>
          <c:order val="5"/>
          <c:spPr>
            <a:ln w="12700" cap="rnd">
              <a:solidFill>
                <a:sysClr val="window" lastClr="FFFFFF">
                  <a:lumMod val="75000"/>
                </a:sysClr>
              </a:solidFill>
              <a:round/>
            </a:ln>
            <a:effectLst/>
          </c:spPr>
          <c:marker>
            <c:symbol val="none"/>
          </c:marker>
          <c:cat>
            <c:numRef>
              <c:f>'Price indexing'!$D$2:$S$2</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'Price indexing'!$D$18:$S$18</c:f>
              <c:numCache>
                <c:formatCode>0.0</c:formatCode>
                <c:ptCount val="16"/>
                <c:pt idx="0">
                  <c:v>14.260851837661702</c:v>
                </c:pt>
                <c:pt idx="1">
                  <c:v>14.031186357499999</c:v>
                </c:pt>
                <c:pt idx="2">
                  <c:v>14.295825674999998</c:v>
                </c:pt>
                <c:pt idx="3">
                  <c:v>14.631254977499998</c:v>
                </c:pt>
                <c:pt idx="4">
                  <c:v>14.601924602499999</c:v>
                </c:pt>
                <c:pt idx="5">
                  <c:v>14.565130484999999</c:v>
                </c:pt>
                <c:pt idx="6">
                  <c:v>14.666669752499999</c:v>
                </c:pt>
                <c:pt idx="7">
                  <c:v>15.026375359999999</c:v>
                </c:pt>
                <c:pt idx="8">
                  <c:v>14.543673749999998</c:v>
                </c:pt>
                <c:pt idx="9">
                  <c:v>14.316010999999998</c:v>
                </c:pt>
                <c:pt idx="10">
                  <c:v>14.503364907499998</c:v>
                </c:pt>
                <c:pt idx="11">
                  <c:v>14.199256734999999</c:v>
                </c:pt>
                <c:pt idx="12">
                  <c:v>14.054199964999999</c:v>
                </c:pt>
                <c:pt idx="13">
                  <c:v>13.801861467499998</c:v>
                </c:pt>
                <c:pt idx="14">
                  <c:v>13.4016635425</c:v>
                </c:pt>
                <c:pt idx="15">
                  <c:v>12.951712732499999</c:v>
                </c:pt>
              </c:numCache>
            </c:numRef>
          </c:val>
          <c:smooth val="0"/>
          <c:extLst>
            <c:ext xmlns:c16="http://schemas.microsoft.com/office/drawing/2014/chart" uri="{C3380CC4-5D6E-409C-BE32-E72D297353CC}">
              <c16:uniqueId val="{00000025-226D-4C05-80F1-A9617FB9861D}"/>
            </c:ext>
          </c:extLst>
        </c:ser>
        <c:ser>
          <c:idx val="6"/>
          <c:order val="6"/>
          <c:spPr>
            <a:ln w="12700" cap="rnd">
              <a:solidFill>
                <a:sysClr val="window" lastClr="FFFFFF">
                  <a:lumMod val="75000"/>
                </a:sysClr>
              </a:solidFill>
              <a:round/>
            </a:ln>
            <a:effectLst/>
          </c:spPr>
          <c:marker>
            <c:symbol val="none"/>
          </c:marker>
          <c:cat>
            <c:numRef>
              <c:f>'Price indexing'!$D$2:$S$2</c:f>
              <c:numCache>
                <c:formatCode>General</c:formatCode>
                <c:ptCount val="16"/>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numCache>
            </c:numRef>
          </c:cat>
          <c:val>
            <c:numRef>
              <c:f>'Price indexing'!$D$19:$S$19</c:f>
              <c:numCache>
                <c:formatCode>0.0</c:formatCode>
                <c:ptCount val="16"/>
                <c:pt idx="0">
                  <c:v>11.35289475769935</c:v>
                </c:pt>
                <c:pt idx="1">
                  <c:v>11.580758319999999</c:v>
                </c:pt>
                <c:pt idx="2">
                  <c:v>11.403853262499998</c:v>
                </c:pt>
                <c:pt idx="3">
                  <c:v>11.824932282499999</c:v>
                </c:pt>
                <c:pt idx="4">
                  <c:v>11.804103974999999</c:v>
                </c:pt>
                <c:pt idx="5">
                  <c:v>11.927538267499999</c:v>
                </c:pt>
                <c:pt idx="6">
                  <c:v>12.049752604999998</c:v>
                </c:pt>
                <c:pt idx="7">
                  <c:v>12.310048587499999</c:v>
                </c:pt>
                <c:pt idx="8">
                  <c:v>11.977832249999999</c:v>
                </c:pt>
                <c:pt idx="9">
                  <c:v>12.077072749999999</c:v>
                </c:pt>
                <c:pt idx="10">
                  <c:v>12.439164659999999</c:v>
                </c:pt>
                <c:pt idx="11">
                  <c:v>12.487037387499999</c:v>
                </c:pt>
                <c:pt idx="12">
                  <c:v>12.430043184999999</c:v>
                </c:pt>
                <c:pt idx="13">
                  <c:v>12.361528187499999</c:v>
                </c:pt>
                <c:pt idx="14">
                  <c:v>12.149804084999998</c:v>
                </c:pt>
                <c:pt idx="15">
                  <c:v>11.930965662499998</c:v>
                </c:pt>
              </c:numCache>
            </c:numRef>
          </c:val>
          <c:smooth val="0"/>
          <c:extLst>
            <c:ext xmlns:c16="http://schemas.microsoft.com/office/drawing/2014/chart" uri="{C3380CC4-5D6E-409C-BE32-E72D297353CC}">
              <c16:uniqueId val="{00000026-226D-4C05-80F1-A9617FB9861D}"/>
            </c:ext>
          </c:extLst>
        </c:ser>
        <c:dLbls>
          <c:showLegendKey val="0"/>
          <c:showVal val="0"/>
          <c:showCatName val="0"/>
          <c:showSerName val="0"/>
          <c:showPercent val="0"/>
          <c:showBubbleSize val="0"/>
        </c:dLbls>
        <c:smooth val="0"/>
        <c:axId val="856120456"/>
        <c:axId val="856117832"/>
      </c:lineChart>
      <c:catAx>
        <c:axId val="8561204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856117832"/>
        <c:crosses val="autoZero"/>
        <c:auto val="1"/>
        <c:lblAlgn val="ctr"/>
        <c:lblOffset val="100"/>
        <c:noMultiLvlLbl val="0"/>
      </c:catAx>
      <c:valAx>
        <c:axId val="856117832"/>
        <c:scaling>
          <c:orientation val="minMax"/>
          <c:min val="1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r>
                  <a:rPr lang="en-GB"/>
                  <a:t>Title</a:t>
                </a:r>
              </a:p>
            </c:rich>
          </c:tx>
          <c:layout>
            <c:manualLayout>
              <c:xMode val="edge"/>
              <c:yMode val="edge"/>
              <c:x val="1.1585808266732674E-2"/>
              <c:y val="8.7376478108864633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crossAx val="856120456"/>
        <c:crosses val="autoZero"/>
        <c:crossBetween val="between"/>
      </c:valAx>
      <c:spPr>
        <a:noFill/>
        <a:ln>
          <a:noFill/>
        </a:ln>
        <a:effectLst/>
      </c:spPr>
    </c:plotArea>
    <c:legend>
      <c:legendPos val="b"/>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Century Gothic" panose="020B0502020202020204" pitchFamily="34" charset="0"/>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7.xml.rels><?xml version="1.0" encoding="UTF-8" standalone="yes"?>
<Relationships xmlns="http://schemas.openxmlformats.org/package/2006/relationships"><Relationship Id="rId1" Type="http://schemas.openxmlformats.org/officeDocument/2006/relationships/chart" Target="../charts/chart5.xml"/></Relationships>
</file>

<file path=xl/drawings/_rels/drawing8.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206187</xdr:colOff>
      <xdr:row>5</xdr:row>
      <xdr:rowOff>45974</xdr:rowOff>
    </xdr:to>
    <xdr:pic>
      <xdr:nvPicPr>
        <xdr:cNvPr id="2" name="Picture 1">
          <a:extLst>
            <a:ext uri="{FF2B5EF4-FFF2-40B4-BE49-F238E27FC236}">
              <a16:creationId xmlns:a16="http://schemas.microsoft.com/office/drawing/2014/main" id="{33E179D2-93B7-4799-A519-E0E0F48CCF47}"/>
            </a:ext>
          </a:extLst>
        </xdr:cNvPr>
        <xdr:cNvPicPr>
          <a:picLocks noChangeAspect="1"/>
        </xdr:cNvPicPr>
      </xdr:nvPicPr>
      <xdr:blipFill>
        <a:blip xmlns:r="http://schemas.openxmlformats.org/officeDocument/2006/relationships" r:embed="rId1">
          <a:clrChange>
            <a:clrFrom>
              <a:srgbClr val="FFFFFF"/>
            </a:clrFrom>
            <a:clrTo>
              <a:srgbClr val="FFFFFF">
                <a:alpha val="0"/>
              </a:srgbClr>
            </a:clrTo>
          </a:clrChange>
        </a:blip>
        <a:stretch>
          <a:fillRect/>
        </a:stretch>
      </xdr:blipFill>
      <xdr:spPr>
        <a:xfrm>
          <a:off x="233082" y="179294"/>
          <a:ext cx="1443317" cy="861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94091</xdr:colOff>
      <xdr:row>4</xdr:row>
      <xdr:rowOff>810052</xdr:rowOff>
    </xdr:from>
    <xdr:to>
      <xdr:col>9</xdr:col>
      <xdr:colOff>458498</xdr:colOff>
      <xdr:row>4</xdr:row>
      <xdr:rowOff>2218662</xdr:rowOff>
    </xdr:to>
    <xdr:pic>
      <xdr:nvPicPr>
        <xdr:cNvPr id="2" name="Picture 1">
          <a:extLst>
            <a:ext uri="{FF2B5EF4-FFF2-40B4-BE49-F238E27FC236}">
              <a16:creationId xmlns:a16="http://schemas.microsoft.com/office/drawing/2014/main" id="{4B418A50-AA48-4B92-B4C7-C3E73F182E94}"/>
            </a:ext>
          </a:extLst>
        </xdr:cNvPr>
        <xdr:cNvPicPr>
          <a:picLocks noChangeAspect="1"/>
        </xdr:cNvPicPr>
      </xdr:nvPicPr>
      <xdr:blipFill>
        <a:blip xmlns:r="http://schemas.openxmlformats.org/officeDocument/2006/relationships" r:embed="rId1"/>
        <a:stretch>
          <a:fillRect/>
        </a:stretch>
      </xdr:blipFill>
      <xdr:spPr>
        <a:xfrm>
          <a:off x="703691" y="3080812"/>
          <a:ext cx="5370747" cy="14086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4</xdr:col>
      <xdr:colOff>116541</xdr:colOff>
      <xdr:row>2</xdr:row>
      <xdr:rowOff>8965</xdr:rowOff>
    </xdr:from>
    <xdr:to>
      <xdr:col>5</xdr:col>
      <xdr:colOff>0</xdr:colOff>
      <xdr:row>2</xdr:row>
      <xdr:rowOff>17929</xdr:rowOff>
    </xdr:to>
    <xdr:cxnSp macro="">
      <xdr:nvCxnSpPr>
        <xdr:cNvPr id="3" name="Straight Arrow Connector 2">
          <a:extLst>
            <a:ext uri="{FF2B5EF4-FFF2-40B4-BE49-F238E27FC236}">
              <a16:creationId xmlns:a16="http://schemas.microsoft.com/office/drawing/2014/main" id="{1727864C-9CCD-4C63-9664-94C93F7C0BAE}"/>
            </a:ext>
          </a:extLst>
        </xdr:cNvPr>
        <xdr:cNvCxnSpPr/>
      </xdr:nvCxnSpPr>
      <xdr:spPr>
        <a:xfrm flipH="1">
          <a:off x="5602941" y="349624"/>
          <a:ext cx="618565" cy="896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533400</xdr:colOff>
      <xdr:row>1</xdr:row>
      <xdr:rowOff>67638</xdr:rowOff>
    </xdr:from>
    <xdr:to>
      <xdr:col>22</xdr:col>
      <xdr:colOff>164374</xdr:colOff>
      <xdr:row>98</xdr:row>
      <xdr:rowOff>49641</xdr:rowOff>
    </xdr:to>
    <xdr:graphicFrame macro="">
      <xdr:nvGraphicFramePr>
        <xdr:cNvPr id="2" name="Chart 1">
          <a:extLst>
            <a:ext uri="{FF2B5EF4-FFF2-40B4-BE49-F238E27FC236}">
              <a16:creationId xmlns:a16="http://schemas.microsoft.com/office/drawing/2014/main" id="{BCD95E67-96D5-40B7-A7C8-C56959B73AE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23</xdr:col>
      <xdr:colOff>171450</xdr:colOff>
      <xdr:row>0</xdr:row>
      <xdr:rowOff>0</xdr:rowOff>
    </xdr:from>
    <xdr:to>
      <xdr:col>46</xdr:col>
      <xdr:colOff>185305</xdr:colOff>
      <xdr:row>98</xdr:row>
      <xdr:rowOff>154133</xdr:rowOff>
    </xdr:to>
    <xdr:graphicFrame macro="">
      <xdr:nvGraphicFramePr>
        <xdr:cNvPr id="3" name="Chart 2">
          <a:extLst>
            <a:ext uri="{FF2B5EF4-FFF2-40B4-BE49-F238E27FC236}">
              <a16:creationId xmlns:a16="http://schemas.microsoft.com/office/drawing/2014/main" id="{6361A766-94FB-474A-AA79-AE46D5F83E5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47</xdr:col>
      <xdr:colOff>0</xdr:colOff>
      <xdr:row>0</xdr:row>
      <xdr:rowOff>0</xdr:rowOff>
    </xdr:from>
    <xdr:to>
      <xdr:col>65</xdr:col>
      <xdr:colOff>209550</xdr:colOff>
      <xdr:row>75</xdr:row>
      <xdr:rowOff>76200</xdr:rowOff>
    </xdr:to>
    <xdr:graphicFrame macro="">
      <xdr:nvGraphicFramePr>
        <xdr:cNvPr id="5" name="Chart 4">
          <a:extLst>
            <a:ext uri="{FF2B5EF4-FFF2-40B4-BE49-F238E27FC236}">
              <a16:creationId xmlns:a16="http://schemas.microsoft.com/office/drawing/2014/main" id="{7987E1AA-3581-42A0-990B-6AB8577CFC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5080</xdr:rowOff>
    </xdr:from>
    <xdr:to>
      <xdr:col>9</xdr:col>
      <xdr:colOff>533400</xdr:colOff>
      <xdr:row>52</xdr:row>
      <xdr:rowOff>114300</xdr:rowOff>
    </xdr:to>
    <xdr:graphicFrame macro="">
      <xdr:nvGraphicFramePr>
        <xdr:cNvPr id="2" name="Chart 1">
          <a:extLst>
            <a:ext uri="{FF2B5EF4-FFF2-40B4-BE49-F238E27FC236}">
              <a16:creationId xmlns:a16="http://schemas.microsoft.com/office/drawing/2014/main" id="{FA898081-4F99-4A25-8916-F688265A785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13</xdr:col>
      <xdr:colOff>0</xdr:colOff>
      <xdr:row>0</xdr:row>
      <xdr:rowOff>0</xdr:rowOff>
    </xdr:from>
    <xdr:to>
      <xdr:col>15</xdr:col>
      <xdr:colOff>1981200</xdr:colOff>
      <xdr:row>0</xdr:row>
      <xdr:rowOff>455279</xdr:rowOff>
    </xdr:to>
    <xdr:sp macro="" textlink="">
      <xdr:nvSpPr>
        <xdr:cNvPr id="2" name="TextBox 1">
          <a:extLst>
            <a:ext uri="{FF2B5EF4-FFF2-40B4-BE49-F238E27FC236}">
              <a16:creationId xmlns:a16="http://schemas.microsoft.com/office/drawing/2014/main" id="{6BE6BDB0-4E2F-4B2A-AF03-0A21079DB633}"/>
            </a:ext>
          </a:extLst>
        </xdr:cNvPr>
        <xdr:cNvSpPr txBox="1"/>
      </xdr:nvSpPr>
      <xdr:spPr>
        <a:xfrm>
          <a:off x="13953562" y="0"/>
          <a:ext cx="3833695" cy="455279"/>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2000">
              <a:solidFill>
                <a:srgbClr val="FF0000"/>
              </a:solidFill>
            </a:rPr>
            <a:t>Press F9 / Fn+F9</a:t>
          </a:r>
          <a:r>
            <a:rPr lang="en-GB" sz="2000" baseline="0">
              <a:solidFill>
                <a:srgbClr val="FF0000"/>
              </a:solidFill>
            </a:rPr>
            <a:t> to update </a:t>
          </a:r>
          <a:endParaRPr lang="en-GB" sz="2000">
            <a:solidFill>
              <a:srgbClr val="FF0000"/>
            </a:solidFill>
          </a:endParaRP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59493</xdr:colOff>
      <xdr:row>40</xdr:row>
      <xdr:rowOff>84858</xdr:rowOff>
    </xdr:from>
    <xdr:to>
      <xdr:col>14</xdr:col>
      <xdr:colOff>7233</xdr:colOff>
      <xdr:row>63</xdr:row>
      <xdr:rowOff>24652</xdr:rowOff>
    </xdr:to>
    <xdr:graphicFrame macro="">
      <xdr:nvGraphicFramePr>
        <xdr:cNvPr id="3" name="Chart 2">
          <a:extLst>
            <a:ext uri="{FF2B5EF4-FFF2-40B4-BE49-F238E27FC236}">
              <a16:creationId xmlns:a16="http://schemas.microsoft.com/office/drawing/2014/main" id="{27781F77-9D96-49B8-B8CD-C1DDCFFDAA4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editAs="oneCell">
    <xdr:from>
      <xdr:col>17</xdr:col>
      <xdr:colOff>39487</xdr:colOff>
      <xdr:row>1</xdr:row>
      <xdr:rowOff>31865</xdr:rowOff>
    </xdr:from>
    <xdr:to>
      <xdr:col>23</xdr:col>
      <xdr:colOff>173236</xdr:colOff>
      <xdr:row>31</xdr:row>
      <xdr:rowOff>71471</xdr:rowOff>
    </xdr:to>
    <xdr:pic>
      <xdr:nvPicPr>
        <xdr:cNvPr id="2" name="Picture 1">
          <a:extLst>
            <a:ext uri="{FF2B5EF4-FFF2-40B4-BE49-F238E27FC236}">
              <a16:creationId xmlns:a16="http://schemas.microsoft.com/office/drawing/2014/main" id="{AE5006BA-D060-41CC-836F-8FDB79360ECD}"/>
            </a:ext>
          </a:extLst>
        </xdr:cNvPr>
        <xdr:cNvPicPr>
          <a:picLocks noChangeAspect="1"/>
        </xdr:cNvPicPr>
      </xdr:nvPicPr>
      <xdr:blipFill>
        <a:blip xmlns:r="http://schemas.openxmlformats.org/officeDocument/2006/relationships" r:embed="rId1"/>
        <a:stretch>
          <a:fillRect/>
        </a:stretch>
      </xdr:blipFill>
      <xdr:spPr>
        <a:xfrm>
          <a:off x="9446723" y="198120"/>
          <a:ext cx="3791349" cy="5027242"/>
        </a:xfrm>
        <a:prstGeom prst="rect">
          <a:avLst/>
        </a:prstGeom>
      </xdr:spPr>
    </xdr:pic>
    <xdr:clientData/>
  </xdr:twoCellAnchor>
  <xdr:twoCellAnchor editAs="oneCell">
    <xdr:from>
      <xdr:col>23</xdr:col>
      <xdr:colOff>186978</xdr:colOff>
      <xdr:row>0</xdr:row>
      <xdr:rowOff>160020</xdr:rowOff>
    </xdr:from>
    <xdr:to>
      <xdr:col>29</xdr:col>
      <xdr:colOff>199913</xdr:colOff>
      <xdr:row>31</xdr:row>
      <xdr:rowOff>108065</xdr:rowOff>
    </xdr:to>
    <xdr:pic>
      <xdr:nvPicPr>
        <xdr:cNvPr id="3" name="Picture 2">
          <a:extLst>
            <a:ext uri="{FF2B5EF4-FFF2-40B4-BE49-F238E27FC236}">
              <a16:creationId xmlns:a16="http://schemas.microsoft.com/office/drawing/2014/main" id="{BFE175B7-2659-4417-8499-01F04E0A3177}"/>
            </a:ext>
          </a:extLst>
        </xdr:cNvPr>
        <xdr:cNvPicPr>
          <a:picLocks noChangeAspect="1"/>
        </xdr:cNvPicPr>
      </xdr:nvPicPr>
      <xdr:blipFill>
        <a:blip xmlns:r="http://schemas.openxmlformats.org/officeDocument/2006/relationships" r:embed="rId2"/>
        <a:stretch>
          <a:fillRect/>
        </a:stretch>
      </xdr:blipFill>
      <xdr:spPr>
        <a:xfrm>
          <a:off x="13251814" y="160020"/>
          <a:ext cx="3670535" cy="5101936"/>
        </a:xfrm>
        <a:prstGeom prst="rect">
          <a:avLst/>
        </a:prstGeom>
      </xdr:spPr>
    </xdr:pic>
    <xdr:clientData/>
  </xdr:twoCellAnchor>
  <xdr:twoCellAnchor editAs="oneCell">
    <xdr:from>
      <xdr:col>29</xdr:col>
      <xdr:colOff>257324</xdr:colOff>
      <xdr:row>1</xdr:row>
      <xdr:rowOff>24244</xdr:rowOff>
    </xdr:from>
    <xdr:to>
      <xdr:col>34</xdr:col>
      <xdr:colOff>394295</xdr:colOff>
      <xdr:row>24</xdr:row>
      <xdr:rowOff>31865</xdr:rowOff>
    </xdr:to>
    <xdr:pic>
      <xdr:nvPicPr>
        <xdr:cNvPr id="4" name="Picture 3">
          <a:extLst>
            <a:ext uri="{FF2B5EF4-FFF2-40B4-BE49-F238E27FC236}">
              <a16:creationId xmlns:a16="http://schemas.microsoft.com/office/drawing/2014/main" id="{9B19B0E2-1EB5-41AB-9938-96D3D3B825E2}"/>
            </a:ext>
          </a:extLst>
        </xdr:cNvPr>
        <xdr:cNvPicPr>
          <a:picLocks noChangeAspect="1"/>
        </xdr:cNvPicPr>
      </xdr:nvPicPr>
      <xdr:blipFill>
        <a:blip xmlns:r="http://schemas.openxmlformats.org/officeDocument/2006/relationships" r:embed="rId3"/>
        <a:stretch>
          <a:fillRect/>
        </a:stretch>
      </xdr:blipFill>
      <xdr:spPr>
        <a:xfrm>
          <a:off x="16979760" y="190499"/>
          <a:ext cx="3184971" cy="383147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hris.grainger\AppData\Local\Microsoft\Windows\INetCache\Content.Outlook\BC2MXDNW\Social%20Housing%20FIT%20Calc%20v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T Calculator"/>
      <sheetName val="Irradiance Data (MCS)"/>
      <sheetName val="Small scale solar costs 2020-21"/>
      <sheetName val="Lists"/>
    </sheetNames>
    <sheetDataSet>
      <sheetData sheetId="0"/>
      <sheetData sheetId="1"/>
      <sheetData sheetId="2"/>
      <sheetData sheetId="3">
        <row r="2">
          <cell r="A2" t="str">
            <v>London</v>
          </cell>
          <cell r="B2" t="str">
            <v>South</v>
          </cell>
        </row>
        <row r="3">
          <cell r="A3" t="str">
            <v>Brighton</v>
          </cell>
          <cell r="B3" t="str">
            <v>SE or SW</v>
          </cell>
        </row>
        <row r="4">
          <cell r="A4" t="str">
            <v>Southampton</v>
          </cell>
          <cell r="B4" t="str">
            <v>E or W</v>
          </cell>
        </row>
        <row r="5">
          <cell r="A5" t="str">
            <v>Plymouth</v>
          </cell>
        </row>
        <row r="6">
          <cell r="A6" t="str">
            <v>Bristol</v>
          </cell>
        </row>
        <row r="7">
          <cell r="A7" t="str">
            <v>Cardiff</v>
          </cell>
        </row>
        <row r="8">
          <cell r="A8" t="str">
            <v>Birmingham</v>
          </cell>
        </row>
        <row r="9">
          <cell r="A9" t="str">
            <v>Manchester</v>
          </cell>
        </row>
        <row r="10">
          <cell r="A10" t="str">
            <v>Chester</v>
          </cell>
        </row>
        <row r="11">
          <cell r="A11" t="str">
            <v>Dumfries</v>
          </cell>
        </row>
        <row r="12">
          <cell r="A12" t="str">
            <v>Carlisle</v>
          </cell>
        </row>
        <row r="13">
          <cell r="A13" t="str">
            <v>Newcastle</v>
          </cell>
        </row>
        <row r="14">
          <cell r="A14" t="str">
            <v>Edinburgh</v>
          </cell>
        </row>
        <row r="15">
          <cell r="A15" t="str">
            <v>Middlesborough</v>
          </cell>
        </row>
        <row r="16">
          <cell r="A16" t="str">
            <v>Sheffield</v>
          </cell>
        </row>
        <row r="17">
          <cell r="A17" t="str">
            <v>Norwich</v>
          </cell>
        </row>
        <row r="18">
          <cell r="A18" t="str">
            <v>Aberystwith</v>
          </cell>
        </row>
        <row r="19">
          <cell r="A19" t="str">
            <v>Glasgow</v>
          </cell>
        </row>
        <row r="20">
          <cell r="A20" t="str">
            <v>Dundee</v>
          </cell>
        </row>
        <row r="21">
          <cell r="A21" t="str">
            <v>Aberdeen</v>
          </cell>
        </row>
        <row r="22">
          <cell r="A22" t="str">
            <v>Inverness</v>
          </cell>
        </row>
        <row r="23">
          <cell r="A23" t="str">
            <v>Stornoway</v>
          </cell>
        </row>
        <row r="24">
          <cell r="A24" t="str">
            <v>Kirkwall</v>
          </cell>
        </row>
        <row r="25">
          <cell r="A25" t="str">
            <v>Lerwick</v>
          </cell>
        </row>
        <row r="26">
          <cell r="A26" t="str">
            <v>Belfast</v>
          </cell>
        </row>
      </sheetData>
    </sheetDataSet>
  </externalBook>
</externalLink>
</file>

<file path=xl/persons/person.xml><?xml version="1.0" encoding="utf-8"?>
<personList xmlns="http://schemas.microsoft.com/office/spreadsheetml/2018/threadedcomments" xmlns:x="http://schemas.openxmlformats.org/spreadsheetml/2006/main">
  <person displayName="Longfield, Adam" id="{E8590D85-D514-4867-8F7C-D3D64D7AA55E}" userId="S::Adam.Longfield@bregroup.com::032eb062-07fc-48ad-977e-e31f37049272" providerId="AD"/>
  <person displayName="Chris Grainger" id="{40A52FDE-1E8B-4427-A698-4321CEFD06D9}" userId="S::Chris.Grainger@WestOfEngland-CA.gov.uk::e63ff191-b5b2-4d93-ad24-7ae08610fabe" providerId="AD"/>
</personList>
</file>

<file path=xl/theme/theme1.xml><?xml version="1.0" encoding="utf-8"?>
<a:theme xmlns:a="http://schemas.openxmlformats.org/drawingml/2006/main" name="Theme2">
  <a:themeElements>
    <a:clrScheme name="Custom 3">
      <a:dk1>
        <a:sysClr val="windowText" lastClr="000000"/>
      </a:dk1>
      <a:lt1>
        <a:sysClr val="window" lastClr="FFFFFF"/>
      </a:lt1>
      <a:dk2>
        <a:srgbClr val="44546A"/>
      </a:dk2>
      <a:lt2>
        <a:srgbClr val="E7E6E6"/>
      </a:lt2>
      <a:accent1>
        <a:srgbClr val="FFD900"/>
      </a:accent1>
      <a:accent2>
        <a:srgbClr val="7ADECC"/>
      </a:accent2>
      <a:accent3>
        <a:srgbClr val="6BD4F2"/>
      </a:accent3>
      <a:accent4>
        <a:srgbClr val="4C5C69"/>
      </a:accent4>
      <a:accent5>
        <a:srgbClr val="ED749D"/>
      </a:accent5>
      <a:accent6>
        <a:srgbClr val="000000"/>
      </a:accent6>
      <a:hlink>
        <a:srgbClr val="0070C0"/>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Energy Hub Theme" id="{EFA665C5-D476-4705-B855-9447064BCAAF}" vid="{D951453C-2C63-4D3D-A1A7-8E542CE31B8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E30" dT="2021-03-24T21:41:13.98" personId="{40A52FDE-1E8B-4427-A698-4321CEFD06D9}" id="{88E3DDC8-ADAF-4750-AB3E-AD069D45165A}">
    <text>assume 5 acres per MW plus 10%</text>
  </threadedComment>
</ThreadedComments>
</file>

<file path=xl/threadedComments/threadedComment2.xml><?xml version="1.0" encoding="utf-8"?>
<ThreadedComments xmlns="http://schemas.microsoft.com/office/spreadsheetml/2018/threadedcomments" xmlns:x="http://schemas.openxmlformats.org/spreadsheetml/2006/main">
  <threadedComment ref="B8" dT="2021-11-15T14:16:41.98" personId="{40A52FDE-1E8B-4427-A698-4321CEFD06D9}" id="{A21AA0E2-EDB2-4475-B576-61BF5B03169D}">
    <text>this should be an estimate of the long term average for a PPA, discuounting any peaks or troughs in the short term market</text>
  </threadedComment>
  <threadedComment ref="B9" dT="2021-11-15T14:17:22.32" personId="{40A52FDE-1E8B-4427-A698-4321CEFD06D9}" id="{02BB6048-17C9-4A02-9851-4A4EB56B4BE6}">
    <text>this should be an estimate of the long term average for a PPA, discuounting any peaks or troughs in the short term market</text>
  </threadedComment>
</ThreadedComments>
</file>

<file path=xl/threadedComments/threadedComment3.xml><?xml version="1.0" encoding="utf-8"?>
<ThreadedComments xmlns="http://schemas.microsoft.com/office/spreadsheetml/2018/threadedcomments" xmlns:x="http://schemas.openxmlformats.org/spreadsheetml/2006/main">
  <threadedComment ref="E2" dT="2021-09-02T08:26:45.42" personId="{E8590D85-D514-4867-8F7C-D3D64D7AA55E}" id="{10D597C6-95E3-43B2-AB9E-E16CFBA7723A}">
    <text>at 30 degree tilt angle.</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11.bin"/><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microsoft.com/office/2017/10/relationships/threadedComment" Target="../threadedComments/threadedComment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3D572-3093-4D1B-B760-9E77BB0D3F9A}">
  <dimension ref="B2:J27"/>
  <sheetViews>
    <sheetView tabSelected="1" zoomScale="85" zoomScaleNormal="85" workbookViewId="0">
      <selection activeCell="J10" sqref="J10"/>
    </sheetView>
  </sheetViews>
  <sheetFormatPr defaultRowHeight="14.4" x14ac:dyDescent="0.3"/>
  <cols>
    <col min="1" max="1" width="3.33203125" style="453" customWidth="1"/>
    <col min="2" max="2" width="18" style="453" customWidth="1"/>
    <col min="3" max="4" width="8.88671875" style="453"/>
    <col min="5" max="5" width="26.33203125" style="453" customWidth="1"/>
    <col min="6" max="6" width="13.109375" style="453" bestFit="1" customWidth="1"/>
    <col min="7" max="7" width="11.88671875" style="453" bestFit="1" customWidth="1"/>
    <col min="8" max="8" width="13.33203125" style="453" bestFit="1" customWidth="1"/>
    <col min="9" max="9" width="11.88671875" style="453" bestFit="1" customWidth="1"/>
    <col min="10" max="10" width="12.6640625" style="453" bestFit="1" customWidth="1"/>
    <col min="11" max="16384" width="8.88671875" style="453"/>
  </cols>
  <sheetData>
    <row r="2" spans="2:10" ht="22.2" x14ac:dyDescent="0.45">
      <c r="B2" s="452"/>
    </row>
    <row r="3" spans="2:10" x14ac:dyDescent="0.3">
      <c r="B3" s="454"/>
    </row>
    <row r="4" spans="2:10" x14ac:dyDescent="0.3">
      <c r="B4" s="454"/>
    </row>
    <row r="5" spans="2:10" x14ac:dyDescent="0.3">
      <c r="B5" s="454"/>
    </row>
    <row r="6" spans="2:10" x14ac:dyDescent="0.3">
      <c r="B6" s="454"/>
    </row>
    <row r="7" spans="2:10" x14ac:dyDescent="0.3">
      <c r="B7" s="455" t="s">
        <v>339</v>
      </c>
      <c r="C7" s="453" t="str">
        <f ca="1">MID(CELL("filename"),SEARCH("[",CELL("filename"))+1, SEARCH("]",CELL("filename"))-SEARCH("[",CELL("filename"))-1)</f>
        <v>Energy cashflow testing model - Jan 2022.xlsx</v>
      </c>
    </row>
    <row r="8" spans="2:10" x14ac:dyDescent="0.3">
      <c r="B8" s="455" t="s">
        <v>340</v>
      </c>
      <c r="C8" s="453" t="s">
        <v>64</v>
      </c>
    </row>
    <row r="9" spans="2:10" x14ac:dyDescent="0.3">
      <c r="B9" s="455" t="s">
        <v>341</v>
      </c>
      <c r="C9" s="453" t="s">
        <v>355</v>
      </c>
    </row>
    <row r="10" spans="2:10" x14ac:dyDescent="0.3">
      <c r="B10" s="455" t="s">
        <v>342</v>
      </c>
      <c r="C10" s="453" t="s">
        <v>488</v>
      </c>
    </row>
    <row r="12" spans="2:10" x14ac:dyDescent="0.3">
      <c r="B12" s="454" t="s">
        <v>343</v>
      </c>
    </row>
    <row r="13" spans="2:10" x14ac:dyDescent="0.3">
      <c r="B13" s="456" t="s">
        <v>344</v>
      </c>
      <c r="C13" s="457" t="s">
        <v>345</v>
      </c>
      <c r="D13" s="457"/>
      <c r="E13" s="457"/>
      <c r="F13" s="458" t="s">
        <v>346</v>
      </c>
      <c r="G13" s="458" t="s">
        <v>347</v>
      </c>
      <c r="H13" s="458" t="s">
        <v>348</v>
      </c>
      <c r="I13" s="458" t="s">
        <v>347</v>
      </c>
      <c r="J13" s="459" t="s">
        <v>349</v>
      </c>
    </row>
    <row r="14" spans="2:10" x14ac:dyDescent="0.3">
      <c r="B14" s="460" t="s">
        <v>350</v>
      </c>
      <c r="C14" s="461" t="s">
        <v>480</v>
      </c>
      <c r="D14" s="461"/>
      <c r="E14" s="461"/>
      <c r="F14" s="462" t="s">
        <v>351</v>
      </c>
      <c r="G14" s="463">
        <v>44433</v>
      </c>
      <c r="H14" s="462" t="s">
        <v>352</v>
      </c>
      <c r="I14" s="463">
        <v>44433</v>
      </c>
      <c r="J14" s="464" t="s">
        <v>353</v>
      </c>
    </row>
    <row r="15" spans="2:10" x14ac:dyDescent="0.3">
      <c r="B15" s="460"/>
      <c r="C15" s="461"/>
      <c r="D15" s="461"/>
      <c r="E15" s="461"/>
      <c r="F15" s="461"/>
      <c r="G15" s="465"/>
      <c r="H15" s="461"/>
      <c r="I15" s="461"/>
      <c r="J15" s="466"/>
    </row>
    <row r="16" spans="2:10" x14ac:dyDescent="0.3">
      <c r="B16" s="460"/>
      <c r="C16" s="461"/>
      <c r="D16" s="461"/>
      <c r="E16" s="461"/>
      <c r="F16" s="461"/>
      <c r="G16" s="465"/>
      <c r="H16" s="461"/>
      <c r="I16" s="461"/>
      <c r="J16" s="466"/>
    </row>
    <row r="17" spans="2:10" x14ac:dyDescent="0.3">
      <c r="B17" s="460"/>
      <c r="C17" s="461"/>
      <c r="D17" s="461"/>
      <c r="E17" s="461"/>
      <c r="F17" s="461"/>
      <c r="G17" s="465"/>
      <c r="H17" s="461"/>
      <c r="I17" s="461"/>
      <c r="J17" s="466"/>
    </row>
    <row r="18" spans="2:10" ht="15.6" customHeight="1" x14ac:dyDescent="0.3"/>
    <row r="19" spans="2:10" x14ac:dyDescent="0.3">
      <c r="B19" s="454" t="s">
        <v>1</v>
      </c>
    </row>
    <row r="20" spans="2:10" ht="145.19999999999999" customHeight="1" x14ac:dyDescent="0.3">
      <c r="B20" s="690" t="s">
        <v>487</v>
      </c>
      <c r="C20" s="691"/>
      <c r="D20" s="691"/>
      <c r="E20" s="691"/>
      <c r="F20" s="691"/>
      <c r="G20" s="691"/>
      <c r="H20" s="691"/>
      <c r="I20" s="691"/>
      <c r="J20" s="692"/>
    </row>
    <row r="22" spans="2:10" x14ac:dyDescent="0.3">
      <c r="B22" s="454" t="s">
        <v>217</v>
      </c>
    </row>
    <row r="23" spans="2:10" x14ac:dyDescent="0.3">
      <c r="B23" s="660"/>
      <c r="C23" s="453" t="s">
        <v>354</v>
      </c>
    </row>
    <row r="24" spans="2:10" x14ac:dyDescent="0.3">
      <c r="B24" s="661"/>
      <c r="C24" s="453" t="s">
        <v>466</v>
      </c>
    </row>
    <row r="25" spans="2:10" x14ac:dyDescent="0.3">
      <c r="B25" s="693"/>
      <c r="C25" s="693"/>
      <c r="D25" s="693"/>
      <c r="E25" s="693"/>
      <c r="F25" s="693"/>
      <c r="G25" s="693"/>
      <c r="H25" s="693"/>
      <c r="I25" s="693"/>
      <c r="J25" s="693"/>
    </row>
    <row r="26" spans="2:10" x14ac:dyDescent="0.3">
      <c r="B26" s="693"/>
      <c r="C26" s="693"/>
      <c r="D26" s="693"/>
      <c r="E26" s="693"/>
      <c r="F26" s="693"/>
      <c r="G26" s="693"/>
      <c r="H26" s="693"/>
      <c r="I26" s="693"/>
      <c r="J26" s="693"/>
    </row>
    <row r="27" spans="2:10" ht="33.6" customHeight="1" x14ac:dyDescent="0.3">
      <c r="B27" s="693"/>
      <c r="C27" s="693"/>
      <c r="D27" s="693"/>
      <c r="E27" s="693"/>
      <c r="F27" s="693"/>
      <c r="G27" s="693"/>
      <c r="H27" s="693"/>
      <c r="I27" s="693"/>
      <c r="J27" s="693"/>
    </row>
  </sheetData>
  <sheetProtection algorithmName="SHA-512" hashValue="sLk5BET+b1yP8huHb+OAt6CwHnJMvQfpt7WKVEyJcT8utyDOaUuUU/SdhAG7WYctt7oXnNCkUSxpkpQG6M1JXg==" saltValue="qJvowijUC6u/Dv639jScVA==" spinCount="100000" sheet="1" objects="1" scenarios="1"/>
  <mergeCells count="2">
    <mergeCell ref="B20:J20"/>
    <mergeCell ref="B25:J27"/>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tabColor theme="6"/>
  </sheetPr>
  <dimension ref="A1:BB136"/>
  <sheetViews>
    <sheetView topLeftCell="E1" zoomScale="25" zoomScaleNormal="25" zoomScaleSheetLayoutView="50" workbookViewId="0">
      <selection activeCell="BB111" sqref="BB111"/>
    </sheetView>
  </sheetViews>
  <sheetFormatPr defaultColWidth="9.109375" defaultRowHeight="13.2" x14ac:dyDescent="0.25"/>
  <cols>
    <col min="1" max="1" width="16.88671875" style="53" bestFit="1" customWidth="1"/>
    <col min="2" max="2" width="12.6640625" style="178" bestFit="1" customWidth="1"/>
    <col min="3" max="3" width="34.44140625" style="5" customWidth="1"/>
    <col min="4" max="4" width="48.88671875" style="5" bestFit="1" customWidth="1"/>
    <col min="5" max="7" width="13" style="5" customWidth="1"/>
    <col min="8" max="9" width="13" style="92" customWidth="1"/>
    <col min="10" max="10" width="13" style="101" customWidth="1"/>
    <col min="11" max="11" width="13" style="92" customWidth="1"/>
    <col min="12" max="12" width="11.44140625" style="57" customWidth="1"/>
    <col min="13" max="13" width="11.44140625" style="104" customWidth="1"/>
    <col min="14" max="14" width="11.44140625" style="104" bestFit="1" customWidth="1"/>
    <col min="15" max="15" width="10.109375" style="5" bestFit="1" customWidth="1"/>
    <col min="16" max="16" width="35.5546875" style="5" bestFit="1" customWidth="1"/>
    <col min="17" max="17" width="19.21875" style="5" customWidth="1"/>
    <col min="18" max="18" width="17.44140625" style="5" customWidth="1"/>
    <col min="19" max="19" width="18" style="5" bestFit="1" customWidth="1"/>
    <col min="20" max="20" width="10.5546875" style="5" bestFit="1" customWidth="1"/>
    <col min="21" max="21" width="9.109375" style="5"/>
    <col min="22" max="22" width="36.33203125" style="5" bestFit="1" customWidth="1"/>
    <col min="23" max="24" width="17.88671875" style="5" bestFit="1" customWidth="1"/>
    <col min="25" max="25" width="17.88671875" style="5" customWidth="1"/>
    <col min="26" max="26" width="16.33203125" style="5" bestFit="1" customWidth="1"/>
    <col min="27" max="28" width="17.88671875" style="5" bestFit="1" customWidth="1"/>
    <col min="29" max="37" width="9.109375" style="112"/>
    <col min="38" max="38" width="16.33203125" style="112" bestFit="1" customWidth="1"/>
    <col min="39" max="54" width="9.109375" style="112"/>
    <col min="55" max="16384" width="9.109375" style="5"/>
  </cols>
  <sheetData>
    <row r="1" spans="1:54" ht="39.6" x14ac:dyDescent="0.25">
      <c r="C1" s="24" t="s">
        <v>73</v>
      </c>
      <c r="D1" s="36" t="s">
        <v>74</v>
      </c>
      <c r="E1" s="25" t="s">
        <v>61</v>
      </c>
      <c r="F1" s="25"/>
      <c r="G1" s="25"/>
      <c r="H1" s="25" t="str">
        <f>'Cash Flow Model'!A84</f>
        <v>Annual com. benefit fund (£)</v>
      </c>
      <c r="I1" s="25" t="str">
        <f>'Cash Flow Model'!A99</f>
        <v>Annual shareholder dividends</v>
      </c>
      <c r="J1" s="93" t="str">
        <f>'Cash Flow Model'!A114</f>
        <v>Av. annual shareholder return</v>
      </c>
      <c r="K1" s="25" t="s">
        <v>304</v>
      </c>
      <c r="L1" s="25" t="s">
        <v>278</v>
      </c>
    </row>
    <row r="2" spans="1:54" s="12" customFormat="1" ht="15.6" x14ac:dyDescent="0.3">
      <c r="A2" s="53"/>
      <c r="B2" s="53"/>
      <c r="C2" s="26" t="s">
        <v>75</v>
      </c>
      <c r="D2" s="27"/>
      <c r="E2" s="37"/>
      <c r="F2" s="37"/>
      <c r="G2" s="37"/>
      <c r="H2" s="37"/>
      <c r="I2" s="37"/>
      <c r="J2" s="94"/>
      <c r="K2" s="37"/>
      <c r="L2" s="105"/>
      <c r="M2" s="114"/>
      <c r="AC2" s="112"/>
      <c r="AD2" s="112"/>
      <c r="AE2" s="112"/>
      <c r="AF2" s="112"/>
      <c r="AG2" s="112"/>
      <c r="AH2" s="112"/>
      <c r="AI2" s="112"/>
      <c r="AJ2" s="112"/>
      <c r="AK2" s="112"/>
      <c r="AL2" s="112"/>
      <c r="AM2" s="112"/>
      <c r="AN2" s="112"/>
      <c r="AO2" s="112"/>
      <c r="AP2" s="112"/>
      <c r="AQ2" s="112"/>
      <c r="AR2" s="112"/>
      <c r="AS2" s="112"/>
      <c r="AT2" s="112"/>
      <c r="AU2" s="112"/>
      <c r="AV2" s="112"/>
      <c r="AW2" s="112"/>
      <c r="AX2" s="112"/>
      <c r="AY2" s="112"/>
      <c r="AZ2" s="112"/>
      <c r="BA2" s="112"/>
      <c r="BB2" s="112"/>
    </row>
    <row r="3" spans="1:54" x14ac:dyDescent="0.25">
      <c r="C3" s="22" t="str">
        <f>'Cash Flow Model'!B2</f>
        <v>Blank site 2</v>
      </c>
      <c r="D3" s="58" t="str">
        <f>'Cash Flow Model'!B3</f>
        <v>9p/kWh, high capex</v>
      </c>
      <c r="E3" s="38" t="str">
        <f>'Cash Flow Model'!B46</f>
        <v>n/a</v>
      </c>
      <c r="F3" s="38"/>
      <c r="G3" s="38"/>
      <c r="H3" s="443">
        <f>'Cash Flow Model'!A85</f>
        <v>0</v>
      </c>
      <c r="I3" s="82">
        <f>'Cash Flow Model'!A100</f>
        <v>0</v>
      </c>
      <c r="J3" s="95">
        <f>'Cash Flow Model'!A115</f>
        <v>0</v>
      </c>
      <c r="K3" s="82">
        <f>'Cash Flow Model'!A162</f>
        <v>0</v>
      </c>
      <c r="M3" s="763" t="s">
        <v>432</v>
      </c>
      <c r="N3" s="763" t="s">
        <v>434</v>
      </c>
    </row>
    <row r="4" spans="1:54" s="12" customFormat="1" ht="15.6" x14ac:dyDescent="0.3">
      <c r="A4" s="53"/>
      <c r="B4" s="53"/>
      <c r="C4" s="46" t="s">
        <v>76</v>
      </c>
      <c r="D4" s="47"/>
      <c r="E4" s="40"/>
      <c r="F4" s="40"/>
      <c r="G4" s="40"/>
      <c r="H4" s="40"/>
      <c r="I4" s="40"/>
      <c r="J4" s="96"/>
      <c r="K4" s="40"/>
      <c r="L4" s="111"/>
      <c r="M4" s="764"/>
      <c r="N4" s="764"/>
      <c r="O4" s="649"/>
      <c r="P4" s="112"/>
      <c r="Q4" s="122" t="str">
        <f>H1</f>
        <v>Annual com. benefit fund (£)</v>
      </c>
      <c r="R4" s="122" t="str">
        <f>I1</f>
        <v>Annual shareholder dividends</v>
      </c>
      <c r="S4" s="112" t="str">
        <f>N3</f>
        <v>Landlord Yr 1 fuel savings</v>
      </c>
      <c r="T4" s="112" t="s">
        <v>305</v>
      </c>
      <c r="U4" s="112" t="s">
        <v>328</v>
      </c>
      <c r="V4" s="112"/>
      <c r="W4" s="5" t="str">
        <f>'Cash Flow Model'!A176</f>
        <v>Project NPV</v>
      </c>
      <c r="X4" s="5" t="str">
        <f>'Cash Flow Model'!A191</f>
        <v>Equity NPV (before sharelhodler payments)</v>
      </c>
      <c r="Y4" s="5"/>
      <c r="AA4" s="688" t="str">
        <f>C5</f>
        <v>500kW, 
£500/acre</v>
      </c>
      <c r="AB4" s="16" t="str">
        <f>C17</f>
        <v>500kW, 
£1000/acre</v>
      </c>
      <c r="AC4" s="689" t="str">
        <f>C29</f>
        <v>300kW, 
£500/acre</v>
      </c>
      <c r="AD4" s="689" t="str">
        <f>C41</f>
        <v>300kW, 
£1000/acre</v>
      </c>
      <c r="AE4" s="689" t="str">
        <f>C53</f>
        <v>300kW, 
£500/acre (no export)</v>
      </c>
      <c r="AF4" s="689" t="str">
        <f>C65</f>
        <v>300kW, 
£1000/acre (no export)</v>
      </c>
      <c r="AG4" s="689" t="str">
        <f>C77</f>
        <v>500kW, 
£500/acre (no grant)</v>
      </c>
      <c r="AH4" s="689" t="str">
        <f>C89</f>
        <v>Blank site 2</v>
      </c>
      <c r="AI4" s="689" t="str">
        <f>C101</f>
        <v>Blank site 3</v>
      </c>
      <c r="AJ4" s="674" t="str">
        <f>C113</f>
        <v>Blank site 4</v>
      </c>
      <c r="AK4" s="112"/>
      <c r="AL4" s="112"/>
      <c r="AM4" s="672" t="str">
        <f t="shared" ref="AM4:AV4" si="0">AA4</f>
        <v>500kW, 
£500/acre</v>
      </c>
      <c r="AN4" s="673" t="str">
        <f t="shared" si="0"/>
        <v>500kW, 
£1000/acre</v>
      </c>
      <c r="AO4" s="673" t="str">
        <f t="shared" si="0"/>
        <v>300kW, 
£500/acre</v>
      </c>
      <c r="AP4" s="673" t="str">
        <f t="shared" si="0"/>
        <v>300kW, 
£1000/acre</v>
      </c>
      <c r="AQ4" s="673" t="str">
        <f t="shared" si="0"/>
        <v>300kW, 
£500/acre (no export)</v>
      </c>
      <c r="AR4" s="673" t="str">
        <f t="shared" si="0"/>
        <v>300kW, 
£1000/acre (no export)</v>
      </c>
      <c r="AS4" s="673" t="str">
        <f t="shared" si="0"/>
        <v>500kW, 
£500/acre (no grant)</v>
      </c>
      <c r="AT4" s="673" t="str">
        <f t="shared" si="0"/>
        <v>Blank site 2</v>
      </c>
      <c r="AU4" s="673" t="str">
        <f t="shared" si="0"/>
        <v>Blank site 3</v>
      </c>
      <c r="AV4" s="674" t="str">
        <f t="shared" si="0"/>
        <v>Blank site 4</v>
      </c>
      <c r="AW4" s="112"/>
      <c r="AX4" s="112"/>
      <c r="AY4" s="112"/>
      <c r="AZ4" s="112"/>
      <c r="BA4" s="112"/>
      <c r="BB4" s="112"/>
    </row>
    <row r="5" spans="1:54" x14ac:dyDescent="0.25">
      <c r="A5" s="179" t="str">
        <f>'Costs (by site)'!E4</f>
        <v>500kW, low lease</v>
      </c>
      <c r="B5" s="180" t="str">
        <f>'Revenue sensitivities'!E5</f>
        <v>9p, low£</v>
      </c>
      <c r="C5" s="48" t="str">
        <f>'Costs (by site)'!E3</f>
        <v>500kW, 
£500/acre</v>
      </c>
      <c r="D5" s="51" t="str">
        <f>'Revenue sensitivities'!E4</f>
        <v>9p/kWh, favourable  capex</v>
      </c>
      <c r="E5" s="62">
        <f>'Cash Flow Model'!B70</f>
        <v>0.10421577066165688</v>
      </c>
      <c r="F5" s="62"/>
      <c r="G5" s="62"/>
      <c r="H5" s="83">
        <f>ROUND('Cash Flow Model'!B86,-2)</f>
        <v>18500</v>
      </c>
      <c r="I5" s="83">
        <f>'Cash Flow Model'!B101</f>
        <v>6000</v>
      </c>
      <c r="J5" s="97">
        <f>'Cash Flow Model'!B116</f>
        <v>3.0000000000000016E-2</v>
      </c>
      <c r="K5" s="83">
        <f>'Cash Flow Model'!B163</f>
        <v>1403.8749999999998</v>
      </c>
      <c r="L5" s="103">
        <f>'Cash Flow Model'!B133</f>
        <v>31668.050699999996</v>
      </c>
      <c r="M5" s="115">
        <f>'Cash Flow Model'!B148</f>
        <v>344.63</v>
      </c>
      <c r="N5" s="103">
        <f>ROUND(($M5*'Global assumptions'!D20*10)-$L5,-2)</f>
        <v>16700</v>
      </c>
      <c r="O5" s="650"/>
      <c r="P5" s="17" t="str">
        <f t="shared" ref="P5:P16" si="1">A5&amp;". "&amp;B5</f>
        <v>500kW, low lease. 9p, low£</v>
      </c>
      <c r="Q5" s="170">
        <f t="shared" ref="Q5:Q16" si="2">ROUND(H5,-2)</f>
        <v>18500</v>
      </c>
      <c r="R5" s="170">
        <f t="shared" ref="R5:R16" si="3">ROUND(I5,-2)</f>
        <v>6000</v>
      </c>
      <c r="S5" s="171">
        <f t="shared" ref="S5:S16" si="4">N5</f>
        <v>16700</v>
      </c>
      <c r="T5" s="185">
        <f t="shared" ref="T5:T16" si="5">ROUND(K5,-2)</f>
        <v>1400</v>
      </c>
      <c r="U5" s="188">
        <f t="shared" ref="U5:U15" si="6">E5</f>
        <v>0.10421577066165688</v>
      </c>
      <c r="W5" s="83">
        <f>'Cash Flow Model'!B178</f>
        <v>287000</v>
      </c>
      <c r="X5" s="83">
        <f>'Cash Flow Model'!B193</f>
        <v>284200</v>
      </c>
      <c r="Y5" s="665"/>
      <c r="Z5" s="685" t="str">
        <f>B5</f>
        <v>9p, low£</v>
      </c>
      <c r="AA5" s="667">
        <f>W5</f>
        <v>287000</v>
      </c>
      <c r="AB5" s="15"/>
      <c r="AC5" s="675"/>
      <c r="AD5" s="675"/>
      <c r="AE5" s="675"/>
      <c r="AF5" s="675"/>
      <c r="AG5" s="675"/>
      <c r="AH5" s="675"/>
      <c r="AI5" s="675"/>
      <c r="AJ5" s="676"/>
      <c r="AL5" s="682" t="str">
        <f>Z5</f>
        <v>9p, low£</v>
      </c>
      <c r="AM5" s="667">
        <f t="shared" ref="AM5:AM16" si="7">X5</f>
        <v>284200</v>
      </c>
      <c r="AN5" s="675"/>
      <c r="AO5" s="675"/>
      <c r="AP5" s="675"/>
      <c r="AQ5" s="675"/>
      <c r="AR5" s="675"/>
      <c r="AS5" s="675"/>
      <c r="AT5" s="675"/>
      <c r="AU5" s="675"/>
      <c r="AV5" s="676"/>
    </row>
    <row r="6" spans="1:54" x14ac:dyDescent="0.25">
      <c r="A6" s="181" t="str">
        <f>A5</f>
        <v>500kW, low lease</v>
      </c>
      <c r="B6" s="182" t="str">
        <f>'Revenue sensitivities'!F5</f>
        <v>9p, low£</v>
      </c>
      <c r="C6" s="49" t="str">
        <f>C5</f>
        <v>500kW, 
£500/acre</v>
      </c>
      <c r="D6" s="39" t="str">
        <f>'Revenue sensitivities'!F4</f>
        <v>9p/kWh, high capex</v>
      </c>
      <c r="E6" s="59">
        <f>'Cash Flow Model'!B71</f>
        <v>7.3542799906212597E-2</v>
      </c>
      <c r="F6" s="59"/>
      <c r="G6" s="59"/>
      <c r="H6" s="84">
        <f>ROUND('Cash Flow Model'!B87,-2)</f>
        <v>15800</v>
      </c>
      <c r="I6" s="84">
        <f>'Cash Flow Model'!B102</f>
        <v>113.8629917478047</v>
      </c>
      <c r="J6" s="98">
        <f>'Cash Flow Model'!B117</f>
        <v>2.0195842098579529E-2</v>
      </c>
      <c r="K6" s="84">
        <f>'Cash Flow Model'!B164</f>
        <v>1403.8749999999998</v>
      </c>
      <c r="L6" s="109">
        <f>'Cash Flow Model'!B134</f>
        <v>31668.050699999996</v>
      </c>
      <c r="M6" s="116">
        <f>'Cash Flow Model'!B149</f>
        <v>344.63</v>
      </c>
      <c r="N6" s="109">
        <f>ROUND(($M6*'Global assumptions'!D20*10)-$L6,-2)</f>
        <v>16700</v>
      </c>
      <c r="O6" s="650"/>
      <c r="P6" s="13" t="str">
        <f t="shared" si="1"/>
        <v>500kW, low lease. 9p, low£</v>
      </c>
      <c r="Q6" s="172">
        <f t="shared" si="2"/>
        <v>15800</v>
      </c>
      <c r="R6" s="172">
        <f t="shared" si="3"/>
        <v>100</v>
      </c>
      <c r="S6" s="173">
        <f t="shared" si="4"/>
        <v>16700</v>
      </c>
      <c r="T6" s="186">
        <f t="shared" si="5"/>
        <v>1400</v>
      </c>
      <c r="U6" s="188">
        <f t="shared" si="6"/>
        <v>7.3542799906212597E-2</v>
      </c>
      <c r="W6" s="84">
        <f>'Cash Flow Model'!B179</f>
        <v>194700</v>
      </c>
      <c r="X6" s="84">
        <f>'Cash Flow Model'!B194</f>
        <v>189500</v>
      </c>
      <c r="Y6" s="665"/>
      <c r="Z6" s="686" t="str">
        <f t="shared" ref="Z6:Z69" si="8">B6</f>
        <v>9p, low£</v>
      </c>
      <c r="AA6" s="668">
        <f t="shared" ref="AA6:AA16" si="9">W6</f>
        <v>194700</v>
      </c>
      <c r="AB6" s="6"/>
      <c r="AC6" s="677"/>
      <c r="AD6" s="677"/>
      <c r="AE6" s="677"/>
      <c r="AF6" s="677"/>
      <c r="AG6" s="677"/>
      <c r="AH6" s="677"/>
      <c r="AI6" s="677"/>
      <c r="AJ6" s="678"/>
      <c r="AL6" s="683" t="str">
        <f t="shared" ref="AL6:AL69" si="10">Z6</f>
        <v>9p, low£</v>
      </c>
      <c r="AM6" s="668">
        <f t="shared" si="7"/>
        <v>189500</v>
      </c>
      <c r="AN6" s="677"/>
      <c r="AO6" s="677"/>
      <c r="AP6" s="677"/>
      <c r="AQ6" s="677"/>
      <c r="AR6" s="677"/>
      <c r="AS6" s="677"/>
      <c r="AT6" s="677"/>
      <c r="AU6" s="677"/>
      <c r="AV6" s="678"/>
    </row>
    <row r="7" spans="1:54" x14ac:dyDescent="0.25">
      <c r="A7" s="181" t="str">
        <f>A5</f>
        <v>500kW, low lease</v>
      </c>
      <c r="B7" s="182" t="str">
        <f>'Revenue sensitivities'!G5</f>
        <v>10p, low£</v>
      </c>
      <c r="C7" s="49" t="str">
        <f>C5</f>
        <v>500kW, 
£500/acre</v>
      </c>
      <c r="D7" s="39" t="str">
        <f>'Revenue sensitivities'!G4</f>
        <v>10p/kWh, favourable  capex</v>
      </c>
      <c r="E7" s="59">
        <f>'Cash Flow Model'!B72</f>
        <v>0.11732487927659663</v>
      </c>
      <c r="F7" s="59"/>
      <c r="G7" s="59"/>
      <c r="H7" s="84">
        <f>ROUND('Cash Flow Model'!B88,-2)</f>
        <v>22500</v>
      </c>
      <c r="I7" s="84">
        <f>'Cash Flow Model'!B103</f>
        <v>6000</v>
      </c>
      <c r="J7" s="98">
        <f>'Cash Flow Model'!B118</f>
        <v>3.0000000000000016E-2</v>
      </c>
      <c r="K7" s="84">
        <f>'Cash Flow Model'!B165</f>
        <v>1403.8749999999998</v>
      </c>
      <c r="L7" s="109">
        <f>'Cash Flow Model'!B135</f>
        <v>35186.722999999998</v>
      </c>
      <c r="M7" s="116">
        <f>'Cash Flow Model'!B150</f>
        <v>344.63</v>
      </c>
      <c r="N7" s="109">
        <f>ROUND(($M7*'Global assumptions'!D20*10)-$L7,-2)</f>
        <v>13200</v>
      </c>
      <c r="O7" s="650"/>
      <c r="P7" s="13" t="str">
        <f t="shared" si="1"/>
        <v>500kW, low lease. 10p, low£</v>
      </c>
      <c r="Q7" s="172">
        <f t="shared" si="2"/>
        <v>22500</v>
      </c>
      <c r="R7" s="172">
        <f t="shared" si="3"/>
        <v>6000</v>
      </c>
      <c r="S7" s="173">
        <f t="shared" si="4"/>
        <v>13200</v>
      </c>
      <c r="T7" s="186">
        <f t="shared" si="5"/>
        <v>1400</v>
      </c>
      <c r="U7" s="188">
        <f t="shared" si="6"/>
        <v>0.11732487927659663</v>
      </c>
      <c r="W7" s="84">
        <f>'Cash Flow Model'!B180</f>
        <v>350100</v>
      </c>
      <c r="X7" s="84">
        <f>'Cash Flow Model'!B195</f>
        <v>347300</v>
      </c>
      <c r="Y7" s="665"/>
      <c r="Z7" s="686" t="str">
        <f t="shared" si="8"/>
        <v>10p, low£</v>
      </c>
      <c r="AA7" s="668">
        <f t="shared" si="9"/>
        <v>350100</v>
      </c>
      <c r="AB7" s="6"/>
      <c r="AC7" s="677"/>
      <c r="AD7" s="677"/>
      <c r="AE7" s="677"/>
      <c r="AF7" s="677"/>
      <c r="AG7" s="677"/>
      <c r="AH7" s="677"/>
      <c r="AI7" s="677"/>
      <c r="AJ7" s="678"/>
      <c r="AL7" s="683" t="str">
        <f t="shared" si="10"/>
        <v>10p, low£</v>
      </c>
      <c r="AM7" s="668">
        <f t="shared" si="7"/>
        <v>347300</v>
      </c>
      <c r="AN7" s="677"/>
      <c r="AO7" s="677"/>
      <c r="AP7" s="677"/>
      <c r="AQ7" s="677"/>
      <c r="AR7" s="677"/>
      <c r="AS7" s="677"/>
      <c r="AT7" s="677"/>
      <c r="AU7" s="677"/>
      <c r="AV7" s="678"/>
    </row>
    <row r="8" spans="1:54" x14ac:dyDescent="0.25">
      <c r="A8" s="181" t="str">
        <f t="shared" ref="A8:A16" si="11">A7</f>
        <v>500kW, low lease</v>
      </c>
      <c r="B8" s="182" t="str">
        <f>'Revenue sensitivities'!H5</f>
        <v>10p, high£</v>
      </c>
      <c r="C8" s="49" t="str">
        <f t="shared" ref="C8:C16" si="12">C7</f>
        <v>500kW, 
£500/acre</v>
      </c>
      <c r="D8" s="39" t="str">
        <f>'Revenue sensitivities'!H4</f>
        <v>10p/kWh, high capex</v>
      </c>
      <c r="E8" s="59">
        <f>'Cash Flow Model'!B73</f>
        <v>8.4677604136556006E-2</v>
      </c>
      <c r="F8" s="59"/>
      <c r="G8" s="59"/>
      <c r="H8" s="84">
        <f>ROUND('Cash Flow Model'!B89,-2)</f>
        <v>18500</v>
      </c>
      <c r="I8" s="84">
        <f>'Cash Flow Model'!B104</f>
        <v>3752.4025092513129</v>
      </c>
      <c r="J8" s="98">
        <f>'Cash Flow Model'!B119</f>
        <v>2.6651275353561207E-2</v>
      </c>
      <c r="K8" s="84">
        <f>'Cash Flow Model'!B166</f>
        <v>1403.8749999999998</v>
      </c>
      <c r="L8" s="109">
        <f>'Cash Flow Model'!B136</f>
        <v>35186.722999999998</v>
      </c>
      <c r="M8" s="116">
        <f>'Cash Flow Model'!B151</f>
        <v>344.63</v>
      </c>
      <c r="N8" s="109">
        <f>ROUND(($M8*'Global assumptions'!D20*10)-$L8,-2)</f>
        <v>13200</v>
      </c>
      <c r="O8" s="118"/>
      <c r="P8" s="13" t="str">
        <f t="shared" si="1"/>
        <v>500kW, low lease. 10p, high£</v>
      </c>
      <c r="Q8" s="172">
        <f t="shared" si="2"/>
        <v>18500</v>
      </c>
      <c r="R8" s="172">
        <f t="shared" si="3"/>
        <v>3800</v>
      </c>
      <c r="S8" s="173">
        <f t="shared" si="4"/>
        <v>13200</v>
      </c>
      <c r="T8" s="186">
        <f t="shared" si="5"/>
        <v>1400</v>
      </c>
      <c r="U8" s="188">
        <f t="shared" si="6"/>
        <v>8.4677604136556006E-2</v>
      </c>
      <c r="W8" s="84">
        <f>'Cash Flow Model'!B181</f>
        <v>257800</v>
      </c>
      <c r="X8" s="84">
        <f>'Cash Flow Model'!B196</f>
        <v>252600</v>
      </c>
      <c r="Y8" s="665"/>
      <c r="Z8" s="686" t="str">
        <f t="shared" si="8"/>
        <v>10p, high£</v>
      </c>
      <c r="AA8" s="668">
        <f t="shared" si="9"/>
        <v>257800</v>
      </c>
      <c r="AB8" s="6"/>
      <c r="AC8" s="677"/>
      <c r="AD8" s="677"/>
      <c r="AE8" s="677"/>
      <c r="AF8" s="677"/>
      <c r="AG8" s="677"/>
      <c r="AH8" s="677"/>
      <c r="AI8" s="677"/>
      <c r="AJ8" s="678"/>
      <c r="AL8" s="683" t="str">
        <f t="shared" si="10"/>
        <v>10p, high£</v>
      </c>
      <c r="AM8" s="668">
        <f t="shared" si="7"/>
        <v>252600</v>
      </c>
      <c r="AN8" s="677"/>
      <c r="AO8" s="677"/>
      <c r="AP8" s="677"/>
      <c r="AQ8" s="677"/>
      <c r="AR8" s="677"/>
      <c r="AS8" s="677"/>
      <c r="AT8" s="677"/>
      <c r="AU8" s="677"/>
      <c r="AV8" s="678"/>
    </row>
    <row r="9" spans="1:54" x14ac:dyDescent="0.25">
      <c r="A9" s="181" t="str">
        <f t="shared" si="11"/>
        <v>500kW, low lease</v>
      </c>
      <c r="B9" s="182" t="str">
        <f>'Revenue sensitivities'!I5</f>
        <v>12p, low£</v>
      </c>
      <c r="C9" s="49" t="str">
        <f t="shared" si="12"/>
        <v>500kW, 
£500/acre</v>
      </c>
      <c r="D9" s="39" t="str">
        <f>'Revenue sensitivities'!I4</f>
        <v>12p/kWh, favourable  capex</v>
      </c>
      <c r="E9" s="59">
        <f>'Cash Flow Model'!B74</f>
        <v>0.14241284338737725</v>
      </c>
      <c r="F9" s="59"/>
      <c r="G9" s="59"/>
      <c r="H9" s="84">
        <f>ROUND('Cash Flow Model'!B90,-2)</f>
        <v>30600</v>
      </c>
      <c r="I9" s="84">
        <f>'Cash Flow Model'!B105</f>
        <v>6000</v>
      </c>
      <c r="J9" s="98">
        <f>'Cash Flow Model'!B120</f>
        <v>3.0000000000000016E-2</v>
      </c>
      <c r="K9" s="84">
        <f>'Cash Flow Model'!B167</f>
        <v>1403.8749999999998</v>
      </c>
      <c r="L9" s="109">
        <f>'Cash Flow Model'!B137</f>
        <v>42224.067599999995</v>
      </c>
      <c r="M9" s="116">
        <f>'Cash Flow Model'!B152</f>
        <v>344.63</v>
      </c>
      <c r="N9" s="109">
        <f>ROUND(($M9*'Global assumptions'!D20*10)-$L9,-2)</f>
        <v>6200</v>
      </c>
      <c r="O9" s="118"/>
      <c r="P9" s="13" t="str">
        <f t="shared" si="1"/>
        <v>500kW, low lease. 12p, low£</v>
      </c>
      <c r="Q9" s="172">
        <f t="shared" si="2"/>
        <v>30600</v>
      </c>
      <c r="R9" s="172">
        <f t="shared" si="3"/>
        <v>6000</v>
      </c>
      <c r="S9" s="173">
        <f t="shared" si="4"/>
        <v>6200</v>
      </c>
      <c r="T9" s="186">
        <f t="shared" si="5"/>
        <v>1400</v>
      </c>
      <c r="U9" s="188">
        <f t="shared" si="6"/>
        <v>0.14241284338737725</v>
      </c>
      <c r="W9" s="84">
        <f>'Cash Flow Model'!B182</f>
        <v>476300</v>
      </c>
      <c r="X9" s="84">
        <f>'Cash Flow Model'!B197</f>
        <v>473500</v>
      </c>
      <c r="Y9" s="665"/>
      <c r="Z9" s="686" t="str">
        <f t="shared" si="8"/>
        <v>12p, low£</v>
      </c>
      <c r="AA9" s="668">
        <f t="shared" si="9"/>
        <v>476300</v>
      </c>
      <c r="AB9" s="6"/>
      <c r="AC9" s="677"/>
      <c r="AD9" s="677"/>
      <c r="AE9" s="677"/>
      <c r="AF9" s="677"/>
      <c r="AG9" s="677"/>
      <c r="AH9" s="677"/>
      <c r="AI9" s="677"/>
      <c r="AJ9" s="678"/>
      <c r="AL9" s="683" t="str">
        <f t="shared" si="10"/>
        <v>12p, low£</v>
      </c>
      <c r="AM9" s="668">
        <f t="shared" si="7"/>
        <v>473500</v>
      </c>
      <c r="AN9" s="677"/>
      <c r="AO9" s="677"/>
      <c r="AP9" s="677"/>
      <c r="AQ9" s="677"/>
      <c r="AR9" s="677"/>
      <c r="AS9" s="677"/>
      <c r="AT9" s="677"/>
      <c r="AU9" s="677"/>
      <c r="AV9" s="678"/>
    </row>
    <row r="10" spans="1:54" x14ac:dyDescent="0.25">
      <c r="A10" s="181" t="str">
        <f t="shared" si="11"/>
        <v>500kW, low lease</v>
      </c>
      <c r="B10" s="182" t="str">
        <f>'Revenue sensitivities'!J5</f>
        <v>12p, low£</v>
      </c>
      <c r="C10" s="49" t="str">
        <f t="shared" si="12"/>
        <v>500kW, 
£500/acre</v>
      </c>
      <c r="D10" s="39" t="str">
        <f>'Revenue sensitivities'!J4</f>
        <v>12p/kWh, high capex</v>
      </c>
      <c r="E10" s="59">
        <f>'Cash Flow Model'!B75</f>
        <v>0.10571528824654686</v>
      </c>
      <c r="F10" s="59"/>
      <c r="G10" s="59"/>
      <c r="H10" s="84">
        <f>ROUND('Cash Flow Model'!B91,-2)</f>
        <v>25900</v>
      </c>
      <c r="I10" s="84">
        <f>'Cash Flow Model'!B106</f>
        <v>6000</v>
      </c>
      <c r="J10" s="98">
        <f>'Cash Flow Model'!B121</f>
        <v>3.0000000000000016E-2</v>
      </c>
      <c r="K10" s="84">
        <f>'Cash Flow Model'!B168</f>
        <v>1403.8749999999998</v>
      </c>
      <c r="L10" s="109">
        <f>'Cash Flow Model'!B138</f>
        <v>42224.067599999995</v>
      </c>
      <c r="M10" s="116">
        <f>'Cash Flow Model'!B153</f>
        <v>344.63</v>
      </c>
      <c r="N10" s="109">
        <f>ROUND(($M10*'Global assumptions'!D20*10)-$L10,-2)</f>
        <v>6200</v>
      </c>
      <c r="O10" s="118"/>
      <c r="P10" s="13" t="str">
        <f t="shared" si="1"/>
        <v>500kW, low lease. 12p, low£</v>
      </c>
      <c r="Q10" s="172">
        <f t="shared" si="2"/>
        <v>25900</v>
      </c>
      <c r="R10" s="172">
        <f t="shared" si="3"/>
        <v>6000</v>
      </c>
      <c r="S10" s="173">
        <f t="shared" si="4"/>
        <v>6200</v>
      </c>
      <c r="T10" s="186">
        <f t="shared" si="5"/>
        <v>1400</v>
      </c>
      <c r="U10" s="188">
        <f t="shared" si="6"/>
        <v>0.10571528824654686</v>
      </c>
      <c r="W10" s="84">
        <f>'Cash Flow Model'!B183</f>
        <v>384000</v>
      </c>
      <c r="X10" s="84">
        <f>'Cash Flow Model'!B198</f>
        <v>378800</v>
      </c>
      <c r="Y10" s="665"/>
      <c r="Z10" s="686" t="str">
        <f t="shared" si="8"/>
        <v>12p, low£</v>
      </c>
      <c r="AA10" s="668">
        <f t="shared" si="9"/>
        <v>384000</v>
      </c>
      <c r="AB10" s="6"/>
      <c r="AC10" s="677"/>
      <c r="AD10" s="677"/>
      <c r="AE10" s="677"/>
      <c r="AF10" s="677"/>
      <c r="AG10" s="677"/>
      <c r="AH10" s="677"/>
      <c r="AI10" s="677"/>
      <c r="AJ10" s="678"/>
      <c r="AL10" s="683" t="str">
        <f t="shared" si="10"/>
        <v>12p, low£</v>
      </c>
      <c r="AM10" s="668">
        <f t="shared" si="7"/>
        <v>378800</v>
      </c>
      <c r="AN10" s="677"/>
      <c r="AO10" s="677"/>
      <c r="AP10" s="677"/>
      <c r="AQ10" s="677"/>
      <c r="AR10" s="677"/>
      <c r="AS10" s="677"/>
      <c r="AT10" s="677"/>
      <c r="AU10" s="677"/>
      <c r="AV10" s="678"/>
    </row>
    <row r="11" spans="1:54" x14ac:dyDescent="0.25">
      <c r="A11" s="181" t="str">
        <f t="shared" si="11"/>
        <v>500kW, low lease</v>
      </c>
      <c r="B11" s="182" t="str">
        <f>'Revenue sensitivities'!K5</f>
        <v>9p, mid£, grid+</v>
      </c>
      <c r="C11" s="49" t="str">
        <f t="shared" si="12"/>
        <v>500kW, 
£500/acre</v>
      </c>
      <c r="D11" s="39" t="str">
        <f>'Revenue sensitivities'!K4</f>
        <v>9p/kWh, mid capex, high grid</v>
      </c>
      <c r="E11" s="59">
        <f>'Cash Flow Model'!B76</f>
        <v>8.4025485777498687E-2</v>
      </c>
      <c r="F11" s="59"/>
      <c r="G11" s="59"/>
      <c r="H11" s="84">
        <f>ROUND('Cash Flow Model'!B92,-2)</f>
        <v>16000</v>
      </c>
      <c r="I11" s="84">
        <f>'Cash Flow Model'!B107</f>
        <v>4719.0879898392286</v>
      </c>
      <c r="J11" s="98">
        <f>'Cash Flow Model'!B122</f>
        <v>2.8138561367699613E-2</v>
      </c>
      <c r="K11" s="84">
        <f>'Cash Flow Model'!B169</f>
        <v>1403.8749999999998</v>
      </c>
      <c r="L11" s="109">
        <f>'Cash Flow Model'!B139</f>
        <v>31668.050699999996</v>
      </c>
      <c r="M11" s="116">
        <f>'Cash Flow Model'!B154</f>
        <v>344.63</v>
      </c>
      <c r="N11" s="109">
        <f>ROUND(($M11*'Global assumptions'!D20*10)-$L11,-2)</f>
        <v>16700</v>
      </c>
      <c r="O11" s="118"/>
      <c r="P11" s="13" t="str">
        <f t="shared" si="1"/>
        <v>500kW, low lease. 9p, mid£, grid+</v>
      </c>
      <c r="Q11" s="172">
        <f t="shared" si="2"/>
        <v>16000</v>
      </c>
      <c r="R11" s="172">
        <f t="shared" si="3"/>
        <v>4700</v>
      </c>
      <c r="S11" s="173">
        <f t="shared" si="4"/>
        <v>16700</v>
      </c>
      <c r="T11" s="186">
        <f t="shared" si="5"/>
        <v>1400</v>
      </c>
      <c r="U11" s="188">
        <f t="shared" si="6"/>
        <v>8.4025485777498687E-2</v>
      </c>
      <c r="W11" s="84">
        <f>'Cash Flow Model'!B184</f>
        <v>230800</v>
      </c>
      <c r="X11" s="84">
        <f>'Cash Flow Model'!B199</f>
        <v>226500</v>
      </c>
      <c r="Y11" s="665"/>
      <c r="Z11" s="686" t="str">
        <f t="shared" si="8"/>
        <v>9p, mid£, grid+</v>
      </c>
      <c r="AA11" s="668">
        <f t="shared" si="9"/>
        <v>230800</v>
      </c>
      <c r="AB11" s="6"/>
      <c r="AC11" s="677"/>
      <c r="AD11" s="677"/>
      <c r="AE11" s="677"/>
      <c r="AF11" s="677"/>
      <c r="AG11" s="677"/>
      <c r="AH11" s="677"/>
      <c r="AI11" s="677"/>
      <c r="AJ11" s="678"/>
      <c r="AL11" s="683" t="str">
        <f t="shared" si="10"/>
        <v>9p, mid£, grid+</v>
      </c>
      <c r="AM11" s="668">
        <f t="shared" si="7"/>
        <v>226500</v>
      </c>
      <c r="AN11" s="677"/>
      <c r="AO11" s="677"/>
      <c r="AP11" s="677"/>
      <c r="AQ11" s="677"/>
      <c r="AR11" s="677"/>
      <c r="AS11" s="677"/>
      <c r="AT11" s="677"/>
      <c r="AU11" s="677"/>
      <c r="AV11" s="678"/>
    </row>
    <row r="12" spans="1:54" x14ac:dyDescent="0.25">
      <c r="A12" s="181" t="str">
        <f t="shared" si="11"/>
        <v>500kW, low lease</v>
      </c>
      <c r="B12" s="182" t="str">
        <f>'Revenue sensitivities'!L5</f>
        <v>9p, high£, grid+</v>
      </c>
      <c r="C12" s="49" t="str">
        <f t="shared" si="12"/>
        <v>500kW, 
£500/acre</v>
      </c>
      <c r="D12" s="39" t="str">
        <f>'Revenue sensitivities'!L4</f>
        <v>9p/kWh, high capex, high grid</v>
      </c>
      <c r="E12" s="59">
        <f>'Cash Flow Model'!B77</f>
        <v>6.8523194054921577E-2</v>
      </c>
      <c r="F12" s="59"/>
      <c r="G12" s="59"/>
      <c r="H12" s="84">
        <f>ROUND('Cash Flow Model'!B93,-2)</f>
        <v>15800</v>
      </c>
      <c r="I12" s="84">
        <f>'Cash Flow Model'!B108</f>
        <v>0</v>
      </c>
      <c r="J12" s="98">
        <f>'Cash Flow Model'!B123</f>
        <v>1.8750000000000006E-2</v>
      </c>
      <c r="K12" s="84">
        <f>'Cash Flow Model'!B170</f>
        <v>1403.8749999999998</v>
      </c>
      <c r="L12" s="109">
        <f>'Cash Flow Model'!B140</f>
        <v>31668.050699999996</v>
      </c>
      <c r="M12" s="116">
        <f>'Cash Flow Model'!B155</f>
        <v>344.63</v>
      </c>
      <c r="N12" s="109">
        <f>ROUND(($M12*'Global assumptions'!D20*10)-$L12,-2)</f>
        <v>16700</v>
      </c>
      <c r="O12" s="118"/>
      <c r="P12" s="13" t="str">
        <f t="shared" si="1"/>
        <v>500kW, low lease. 9p, high£, grid+</v>
      </c>
      <c r="Q12" s="172">
        <f t="shared" si="2"/>
        <v>15800</v>
      </c>
      <c r="R12" s="172">
        <f t="shared" si="3"/>
        <v>0</v>
      </c>
      <c r="S12" s="173">
        <f t="shared" si="4"/>
        <v>16700</v>
      </c>
      <c r="T12" s="186">
        <f t="shared" si="5"/>
        <v>1400</v>
      </c>
      <c r="U12" s="188">
        <f t="shared" si="6"/>
        <v>6.8523194054921577E-2</v>
      </c>
      <c r="W12" s="84">
        <f>'Cash Flow Model'!B185</f>
        <v>175300</v>
      </c>
      <c r="X12" s="84">
        <f>'Cash Flow Model'!B200</f>
        <v>169700</v>
      </c>
      <c r="Y12" s="665"/>
      <c r="Z12" s="686" t="str">
        <f t="shared" si="8"/>
        <v>9p, high£, grid+</v>
      </c>
      <c r="AA12" s="668">
        <f t="shared" si="9"/>
        <v>175300</v>
      </c>
      <c r="AB12" s="6"/>
      <c r="AC12" s="677"/>
      <c r="AD12" s="677"/>
      <c r="AE12" s="677"/>
      <c r="AF12" s="677"/>
      <c r="AG12" s="677"/>
      <c r="AH12" s="677"/>
      <c r="AI12" s="677"/>
      <c r="AJ12" s="678"/>
      <c r="AL12" s="683" t="str">
        <f t="shared" si="10"/>
        <v>9p, high£, grid+</v>
      </c>
      <c r="AM12" s="668">
        <f t="shared" si="7"/>
        <v>169700</v>
      </c>
      <c r="AN12" s="677"/>
      <c r="AO12" s="677"/>
      <c r="AP12" s="677"/>
      <c r="AQ12" s="677"/>
      <c r="AR12" s="677"/>
      <c r="AS12" s="677"/>
      <c r="AT12" s="677"/>
      <c r="AU12" s="677"/>
      <c r="AV12" s="678"/>
    </row>
    <row r="13" spans="1:54" x14ac:dyDescent="0.25">
      <c r="A13" s="181" t="str">
        <f t="shared" si="11"/>
        <v>500kW, low lease</v>
      </c>
      <c r="B13" s="182" t="str">
        <f>'Revenue sensitivities'!M5</f>
        <v>10p, mid£, grid+</v>
      </c>
      <c r="C13" s="49" t="str">
        <f t="shared" si="12"/>
        <v>500kW, 
£500/acre</v>
      </c>
      <c r="D13" s="39" t="str">
        <f>'Revenue sensitivities'!M4</f>
        <v>10p/kWh, mid capex, high grid</v>
      </c>
      <c r="E13" s="59">
        <f>'Cash Flow Model'!B78</f>
        <v>9.5802138076313659E-2</v>
      </c>
      <c r="F13" s="59"/>
      <c r="G13" s="59"/>
      <c r="H13" s="84">
        <f>ROUND('Cash Flow Model'!B94,-2)</f>
        <v>19700</v>
      </c>
      <c r="I13" s="84">
        <f>'Cash Flow Model'!B109</f>
        <v>6000</v>
      </c>
      <c r="J13" s="98">
        <f>'Cash Flow Model'!B124</f>
        <v>3.0000000000000016E-2</v>
      </c>
      <c r="K13" s="84">
        <f>'Cash Flow Model'!B171</f>
        <v>1403.8749999999998</v>
      </c>
      <c r="L13" s="109">
        <f>'Cash Flow Model'!B141</f>
        <v>35186.722999999998</v>
      </c>
      <c r="M13" s="116">
        <f>'Cash Flow Model'!B156</f>
        <v>344.63</v>
      </c>
      <c r="N13" s="109">
        <f>ROUND(($M13*'Global assumptions'!D20*10)-$L13,-2)</f>
        <v>13200</v>
      </c>
      <c r="O13" s="118"/>
      <c r="P13" s="13" t="str">
        <f t="shared" si="1"/>
        <v>500kW, low lease. 10p, mid£, grid+</v>
      </c>
      <c r="Q13" s="172">
        <f t="shared" si="2"/>
        <v>19700</v>
      </c>
      <c r="R13" s="172">
        <f t="shared" si="3"/>
        <v>6000</v>
      </c>
      <c r="S13" s="173">
        <f t="shared" si="4"/>
        <v>13200</v>
      </c>
      <c r="T13" s="186">
        <f t="shared" si="5"/>
        <v>1400</v>
      </c>
      <c r="U13" s="188">
        <f t="shared" si="6"/>
        <v>9.5802138076313659E-2</v>
      </c>
      <c r="W13" s="84">
        <f>'Cash Flow Model'!B186</f>
        <v>293900</v>
      </c>
      <c r="X13" s="84">
        <f>'Cash Flow Model'!B201</f>
        <v>289600</v>
      </c>
      <c r="Y13" s="665"/>
      <c r="Z13" s="686" t="str">
        <f t="shared" si="8"/>
        <v>10p, mid£, grid+</v>
      </c>
      <c r="AA13" s="668">
        <f t="shared" si="9"/>
        <v>293900</v>
      </c>
      <c r="AB13" s="6"/>
      <c r="AC13" s="677"/>
      <c r="AD13" s="677"/>
      <c r="AE13" s="677"/>
      <c r="AF13" s="677"/>
      <c r="AG13" s="677"/>
      <c r="AH13" s="677"/>
      <c r="AI13" s="677"/>
      <c r="AJ13" s="678"/>
      <c r="AL13" s="683" t="str">
        <f t="shared" si="10"/>
        <v>10p, mid£, grid+</v>
      </c>
      <c r="AM13" s="668">
        <f t="shared" si="7"/>
        <v>289600</v>
      </c>
      <c r="AN13" s="677"/>
      <c r="AO13" s="677"/>
      <c r="AP13" s="677"/>
      <c r="AQ13" s="677"/>
      <c r="AR13" s="677"/>
      <c r="AS13" s="677"/>
      <c r="AT13" s="677"/>
      <c r="AU13" s="677"/>
      <c r="AV13" s="678"/>
    </row>
    <row r="14" spans="1:54" x14ac:dyDescent="0.25">
      <c r="A14" s="181" t="str">
        <f t="shared" si="11"/>
        <v>500kW, low lease</v>
      </c>
      <c r="B14" s="182" t="str">
        <f>'Revenue sensitivities'!N5</f>
        <v>10p, high£, grid+</v>
      </c>
      <c r="C14" s="49" t="str">
        <f t="shared" si="12"/>
        <v>500kW, 
£500/acre</v>
      </c>
      <c r="D14" s="39" t="str">
        <f>'Revenue sensitivities'!N4</f>
        <v>10p/kWh, high capex, high grid</v>
      </c>
      <c r="E14" s="63">
        <f>'Cash Flow Model'!B79</f>
        <v>7.9362991353357781E-2</v>
      </c>
      <c r="F14" s="63"/>
      <c r="G14" s="63"/>
      <c r="H14" s="84">
        <f>ROUND('Cash Flow Model'!B95,-2)</f>
        <v>18400</v>
      </c>
      <c r="I14" s="84">
        <f>'Cash Flow Model'!B110</f>
        <v>1286.5836226485826</v>
      </c>
      <c r="J14" s="98">
        <f>'Cash Flow Model'!B125</f>
        <v>2.206573582294008E-2</v>
      </c>
      <c r="K14" s="84">
        <f>'Cash Flow Model'!B172</f>
        <v>1403.8749999999998</v>
      </c>
      <c r="L14" s="109">
        <f>'Cash Flow Model'!B142</f>
        <v>35186.722999999998</v>
      </c>
      <c r="M14" s="116">
        <f>'Cash Flow Model'!B157</f>
        <v>344.63</v>
      </c>
      <c r="N14" s="109">
        <f>ROUND(($M14*'Global assumptions'!D20*10)-$L14,-2)</f>
        <v>13200</v>
      </c>
      <c r="O14" s="118"/>
      <c r="P14" s="13" t="str">
        <f t="shared" si="1"/>
        <v>500kW, low lease. 10p, high£, grid+</v>
      </c>
      <c r="Q14" s="172">
        <f t="shared" si="2"/>
        <v>18400</v>
      </c>
      <c r="R14" s="172">
        <f t="shared" si="3"/>
        <v>1300</v>
      </c>
      <c r="S14" s="173">
        <f t="shared" si="4"/>
        <v>13200</v>
      </c>
      <c r="T14" s="186">
        <f t="shared" si="5"/>
        <v>1400</v>
      </c>
      <c r="U14" s="188">
        <f t="shared" si="6"/>
        <v>7.9362991353357781E-2</v>
      </c>
      <c r="W14" s="84">
        <f>'Cash Flow Model'!B187</f>
        <v>238500</v>
      </c>
      <c r="X14" s="84">
        <f>'Cash Flow Model'!B202</f>
        <v>232800</v>
      </c>
      <c r="Y14" s="665"/>
      <c r="Z14" s="686" t="str">
        <f t="shared" si="8"/>
        <v>10p, high£, grid+</v>
      </c>
      <c r="AA14" s="668">
        <f t="shared" si="9"/>
        <v>238500</v>
      </c>
      <c r="AB14" s="6"/>
      <c r="AC14" s="677"/>
      <c r="AD14" s="677"/>
      <c r="AE14" s="677"/>
      <c r="AF14" s="677"/>
      <c r="AG14" s="677"/>
      <c r="AH14" s="677"/>
      <c r="AI14" s="677"/>
      <c r="AJ14" s="678"/>
      <c r="AL14" s="683" t="str">
        <f t="shared" si="10"/>
        <v>10p, high£, grid+</v>
      </c>
      <c r="AM14" s="668">
        <f t="shared" si="7"/>
        <v>232800</v>
      </c>
      <c r="AN14" s="677"/>
      <c r="AO14" s="677"/>
      <c r="AP14" s="677"/>
      <c r="AQ14" s="677"/>
      <c r="AR14" s="677"/>
      <c r="AS14" s="677"/>
      <c r="AT14" s="677"/>
      <c r="AU14" s="677"/>
      <c r="AV14" s="678"/>
    </row>
    <row r="15" spans="1:54" x14ac:dyDescent="0.25">
      <c r="A15" s="181" t="str">
        <f t="shared" si="11"/>
        <v>500kW, low lease</v>
      </c>
      <c r="B15" s="182" t="str">
        <f>'Revenue sensitivities'!O5</f>
        <v>12p, mid£, grid+</v>
      </c>
      <c r="C15" s="49" t="str">
        <f t="shared" si="12"/>
        <v>500kW, 
£500/acre</v>
      </c>
      <c r="D15" s="39" t="str">
        <f>'Revenue sensitivities'!O4</f>
        <v>12p/kWh, mid capex, high grid</v>
      </c>
      <c r="E15" s="59">
        <f>'Cash Flow Model'!B80</f>
        <v>0.11815328287543192</v>
      </c>
      <c r="F15" s="59"/>
      <c r="G15" s="59"/>
      <c r="H15" s="84">
        <f>ROUND('Cash Flow Model'!B96,-2)</f>
        <v>27800</v>
      </c>
      <c r="I15" s="84">
        <f>'Cash Flow Model'!B111</f>
        <v>6000</v>
      </c>
      <c r="J15" s="98">
        <f>'Cash Flow Model'!B126</f>
        <v>3.0000000000000016E-2</v>
      </c>
      <c r="K15" s="84">
        <f>'Cash Flow Model'!B173</f>
        <v>1403.8749999999998</v>
      </c>
      <c r="L15" s="109">
        <f>'Cash Flow Model'!B143</f>
        <v>42224.067599999995</v>
      </c>
      <c r="M15" s="116">
        <f>'Cash Flow Model'!B158</f>
        <v>344.63</v>
      </c>
      <c r="N15" s="109">
        <f>ROUND(($M15*'Global assumptions'!D20*10)-$L15,-2)</f>
        <v>6200</v>
      </c>
      <c r="O15" s="118"/>
      <c r="P15" s="13" t="str">
        <f t="shared" si="1"/>
        <v>500kW, low lease. 12p, mid£, grid+</v>
      </c>
      <c r="Q15" s="172">
        <f t="shared" si="2"/>
        <v>27800</v>
      </c>
      <c r="R15" s="172">
        <f t="shared" si="3"/>
        <v>6000</v>
      </c>
      <c r="S15" s="173">
        <f t="shared" si="4"/>
        <v>6200</v>
      </c>
      <c r="T15" s="186">
        <f t="shared" si="5"/>
        <v>1400</v>
      </c>
      <c r="U15" s="188">
        <f t="shared" si="6"/>
        <v>0.11815328287543192</v>
      </c>
      <c r="W15" s="84">
        <f>'Cash Flow Model'!B188</f>
        <v>420100</v>
      </c>
      <c r="X15" s="84">
        <f>'Cash Flow Model'!B203</f>
        <v>415800</v>
      </c>
      <c r="Y15" s="665"/>
      <c r="Z15" s="686" t="str">
        <f t="shared" si="8"/>
        <v>12p, mid£, grid+</v>
      </c>
      <c r="AA15" s="668">
        <f t="shared" si="9"/>
        <v>420100</v>
      </c>
      <c r="AB15" s="6"/>
      <c r="AC15" s="677"/>
      <c r="AD15" s="677"/>
      <c r="AE15" s="677"/>
      <c r="AF15" s="677"/>
      <c r="AG15" s="677"/>
      <c r="AH15" s="677"/>
      <c r="AI15" s="677"/>
      <c r="AJ15" s="678"/>
      <c r="AL15" s="683" t="str">
        <f t="shared" si="10"/>
        <v>12p, mid£, grid+</v>
      </c>
      <c r="AM15" s="668">
        <f t="shared" si="7"/>
        <v>415800</v>
      </c>
      <c r="AN15" s="677"/>
      <c r="AO15" s="677"/>
      <c r="AP15" s="677"/>
      <c r="AQ15" s="677"/>
      <c r="AR15" s="677"/>
      <c r="AS15" s="677"/>
      <c r="AT15" s="677"/>
      <c r="AU15" s="677"/>
      <c r="AV15" s="678"/>
    </row>
    <row r="16" spans="1:54" x14ac:dyDescent="0.25">
      <c r="A16" s="181" t="str">
        <f t="shared" si="11"/>
        <v>500kW, low lease</v>
      </c>
      <c r="B16" s="182" t="str">
        <f>'Revenue sensitivities'!P5</f>
        <v>12p, high£, grid+</v>
      </c>
      <c r="C16" s="49" t="str">
        <f t="shared" si="12"/>
        <v>500kW, 
£500/acre</v>
      </c>
      <c r="D16" s="39" t="str">
        <f>'Revenue sensitivities'!P4</f>
        <v>12p/kWh, high capex, high grid</v>
      </c>
      <c r="E16" s="59">
        <f>'Cash Flow Model'!B81</f>
        <v>9.9798363048144489E-2</v>
      </c>
      <c r="F16" s="59"/>
      <c r="G16" s="59"/>
      <c r="H16" s="84">
        <f>ROUND('Cash Flow Model'!B97,-2)</f>
        <v>24900</v>
      </c>
      <c r="I16" s="84">
        <f>'Cash Flow Model'!B112</f>
        <v>6000</v>
      </c>
      <c r="J16" s="98">
        <f>'Cash Flow Model'!B127</f>
        <v>3.0000000000000016E-2</v>
      </c>
      <c r="K16" s="84">
        <f>'Cash Flow Model'!B174</f>
        <v>1403.8749999999998</v>
      </c>
      <c r="L16" s="110">
        <f>'Cash Flow Model'!B144</f>
        <v>42224.067599999995</v>
      </c>
      <c r="M16" s="117">
        <f>'Cash Flow Model'!B159</f>
        <v>344.63</v>
      </c>
      <c r="N16" s="110">
        <f>ROUND(($M16*'Global assumptions'!D20*10)-$L16,-2)</f>
        <v>6200</v>
      </c>
      <c r="O16" s="118"/>
      <c r="P16" s="19" t="str">
        <f t="shared" si="1"/>
        <v>500kW, low lease. 12p, high£, grid+</v>
      </c>
      <c r="Q16" s="174">
        <f t="shared" si="2"/>
        <v>24900</v>
      </c>
      <c r="R16" s="174">
        <f t="shared" si="3"/>
        <v>6000</v>
      </c>
      <c r="S16" s="175">
        <f t="shared" si="4"/>
        <v>6200</v>
      </c>
      <c r="T16" s="187">
        <f t="shared" si="5"/>
        <v>1400</v>
      </c>
      <c r="U16" s="188">
        <f>E16</f>
        <v>9.9798363048144489E-2</v>
      </c>
      <c r="W16" s="84">
        <f>'Cash Flow Model'!B189</f>
        <v>364700</v>
      </c>
      <c r="X16" s="84">
        <f>'Cash Flow Model'!B204</f>
        <v>359000</v>
      </c>
      <c r="Y16" s="665"/>
      <c r="Z16" s="686" t="str">
        <f t="shared" si="8"/>
        <v>12p, high£, grid+</v>
      </c>
      <c r="AA16" s="668">
        <f t="shared" si="9"/>
        <v>364700</v>
      </c>
      <c r="AB16" s="6"/>
      <c r="AC16" s="677"/>
      <c r="AD16" s="677"/>
      <c r="AE16" s="677"/>
      <c r="AF16" s="677"/>
      <c r="AG16" s="677"/>
      <c r="AH16" s="677"/>
      <c r="AI16" s="677"/>
      <c r="AJ16" s="678"/>
      <c r="AL16" s="683" t="str">
        <f t="shared" si="10"/>
        <v>12p, high£, grid+</v>
      </c>
      <c r="AM16" s="668">
        <f t="shared" si="7"/>
        <v>359000</v>
      </c>
      <c r="AN16" s="677"/>
      <c r="AO16" s="677"/>
      <c r="AP16" s="677"/>
      <c r="AQ16" s="677"/>
      <c r="AR16" s="677"/>
      <c r="AS16" s="677"/>
      <c r="AT16" s="677"/>
      <c r="AU16" s="677"/>
      <c r="AV16" s="678"/>
    </row>
    <row r="17" spans="1:48" x14ac:dyDescent="0.25">
      <c r="A17" s="179" t="str">
        <f>'Costs (by site)'!F4</f>
        <v>500kW, high lease</v>
      </c>
      <c r="B17" s="180" t="str">
        <f t="shared" ref="B17:D28" si="13">B5</f>
        <v>9p, low£</v>
      </c>
      <c r="C17" s="48" t="str">
        <f>'Costs (by site)'!F3</f>
        <v>500kW, 
£1000/acre</v>
      </c>
      <c r="D17" s="51" t="str">
        <f t="shared" si="13"/>
        <v>9p/kWh, favourable  capex</v>
      </c>
      <c r="E17" s="62">
        <f>'Cash Flow Model'!C70</f>
        <v>9.8383297932486347E-2</v>
      </c>
      <c r="F17" s="62"/>
      <c r="G17" s="62"/>
      <c r="H17" s="83">
        <f>ROUND('Cash Flow Model'!C86,-2)</f>
        <v>16600</v>
      </c>
      <c r="I17" s="83">
        <f>'Cash Flow Model'!C101</f>
        <v>6000</v>
      </c>
      <c r="J17" s="97">
        <f>'Cash Flow Model'!C116</f>
        <v>3.0000000000000016E-2</v>
      </c>
      <c r="K17" s="83">
        <f>'Cash Flow Model'!C163</f>
        <v>2807.7499999999995</v>
      </c>
      <c r="L17" s="103">
        <f>'Cash Flow Model'!C133</f>
        <v>31668.050699999996</v>
      </c>
      <c r="M17" s="115">
        <f>'Cash Flow Model'!C148</f>
        <v>344.63</v>
      </c>
      <c r="N17" s="103">
        <f>ROUND(($M17*'Global assumptions'!D20*10)-$L17,-2)</f>
        <v>16700</v>
      </c>
      <c r="O17" s="118"/>
      <c r="P17" s="13"/>
      <c r="Q17" s="172"/>
      <c r="R17" s="172"/>
      <c r="S17" s="173"/>
      <c r="T17" s="186"/>
      <c r="U17" s="188"/>
      <c r="W17" s="83">
        <f>'Cash Flow Model'!C178</f>
        <v>259100</v>
      </c>
      <c r="X17" s="83">
        <f>'Cash Flow Model'!C193</f>
        <v>256200</v>
      </c>
      <c r="Y17" s="665"/>
      <c r="Z17" s="686" t="str">
        <f t="shared" si="8"/>
        <v>9p, low£</v>
      </c>
      <c r="AA17" s="13"/>
      <c r="AB17" s="667">
        <f t="shared" ref="AB17:AB28" si="14">W17</f>
        <v>259100</v>
      </c>
      <c r="AC17" s="677"/>
      <c r="AD17" s="677"/>
      <c r="AE17" s="677"/>
      <c r="AF17" s="677"/>
      <c r="AG17" s="677"/>
      <c r="AH17" s="677"/>
      <c r="AI17" s="677"/>
      <c r="AJ17" s="678"/>
      <c r="AL17" s="683" t="str">
        <f t="shared" si="10"/>
        <v>9p, low£</v>
      </c>
      <c r="AM17" s="679"/>
      <c r="AN17" s="667">
        <f t="shared" ref="AN17:AN28" si="15">X17</f>
        <v>256200</v>
      </c>
      <c r="AO17" s="677"/>
      <c r="AP17" s="677"/>
      <c r="AQ17" s="677"/>
      <c r="AR17" s="677"/>
      <c r="AS17" s="677"/>
      <c r="AT17" s="677"/>
      <c r="AU17" s="677"/>
      <c r="AV17" s="678"/>
    </row>
    <row r="18" spans="1:48" x14ac:dyDescent="0.25">
      <c r="A18" s="181" t="str">
        <f>A17</f>
        <v>500kW, high lease</v>
      </c>
      <c r="B18" s="182" t="str">
        <f t="shared" si="13"/>
        <v>9p, low£</v>
      </c>
      <c r="C18" s="49" t="str">
        <f>C17</f>
        <v>500kW, 
£1000/acre</v>
      </c>
      <c r="D18" s="39" t="str">
        <f t="shared" si="13"/>
        <v>9p/kWh, high capex</v>
      </c>
      <c r="E18" s="59">
        <f>'Cash Flow Model'!C71</f>
        <v>6.8505837370568701E-2</v>
      </c>
      <c r="F18" s="59"/>
      <c r="G18" s="59"/>
      <c r="H18" s="84">
        <f>ROUND('Cash Flow Model'!C87,-2)</f>
        <v>14600</v>
      </c>
      <c r="I18" s="84">
        <f>'Cash Flow Model'!C102</f>
        <v>0</v>
      </c>
      <c r="J18" s="98">
        <f>'Cash Flow Model'!C117</f>
        <v>1.8883249290817791E-2</v>
      </c>
      <c r="K18" s="84">
        <f>'Cash Flow Model'!C164</f>
        <v>2807.7499999999995</v>
      </c>
      <c r="L18" s="109">
        <f>'Cash Flow Model'!C134</f>
        <v>31668.050699999996</v>
      </c>
      <c r="M18" s="116">
        <f>'Cash Flow Model'!C149</f>
        <v>344.63</v>
      </c>
      <c r="N18" s="109">
        <f>ROUND(($M18*'Global assumptions'!D20*10)-$L18,-2)</f>
        <v>16700</v>
      </c>
      <c r="O18" s="118"/>
      <c r="P18" s="17" t="str">
        <f t="shared" ref="P18:P29" si="16">A17&amp;". "&amp;B17</f>
        <v>500kW, high lease. 9p, low£</v>
      </c>
      <c r="Q18" s="170">
        <f t="shared" ref="Q18:Q29" si="17">ROUND(H17,-2)</f>
        <v>16600</v>
      </c>
      <c r="R18" s="170">
        <f t="shared" ref="R18:R29" si="18">ROUND(I17,-2)</f>
        <v>6000</v>
      </c>
      <c r="S18" s="171">
        <f t="shared" ref="S18:S29" si="19">N17</f>
        <v>16700</v>
      </c>
      <c r="T18" s="185">
        <f t="shared" ref="T18:T29" si="20">ROUND(K17,-2)</f>
        <v>2800</v>
      </c>
      <c r="U18" s="188">
        <f t="shared" ref="U18:U29" si="21">E17</f>
        <v>9.8383297932486347E-2</v>
      </c>
      <c r="W18" s="84">
        <f>'Cash Flow Model'!C179</f>
        <v>166700</v>
      </c>
      <c r="X18" s="84">
        <f>'Cash Flow Model'!C194</f>
        <v>161500</v>
      </c>
      <c r="Y18" s="665"/>
      <c r="Z18" s="686" t="str">
        <f t="shared" si="8"/>
        <v>9p, low£</v>
      </c>
      <c r="AA18" s="13"/>
      <c r="AB18" s="668">
        <f t="shared" si="14"/>
        <v>166700</v>
      </c>
      <c r="AC18" s="677"/>
      <c r="AD18" s="677"/>
      <c r="AE18" s="677"/>
      <c r="AF18" s="677"/>
      <c r="AG18" s="677"/>
      <c r="AH18" s="677"/>
      <c r="AI18" s="677"/>
      <c r="AJ18" s="678"/>
      <c r="AL18" s="683" t="str">
        <f t="shared" si="10"/>
        <v>9p, low£</v>
      </c>
      <c r="AM18" s="679"/>
      <c r="AN18" s="668">
        <f t="shared" si="15"/>
        <v>161500</v>
      </c>
      <c r="AO18" s="677"/>
      <c r="AP18" s="677"/>
      <c r="AQ18" s="677"/>
      <c r="AR18" s="677"/>
      <c r="AS18" s="677"/>
      <c r="AT18" s="677"/>
      <c r="AU18" s="677"/>
      <c r="AV18" s="678"/>
    </row>
    <row r="19" spans="1:48" x14ac:dyDescent="0.25">
      <c r="A19" s="181" t="str">
        <f>A17</f>
        <v>500kW, high lease</v>
      </c>
      <c r="B19" s="182" t="str">
        <f t="shared" si="13"/>
        <v>10p, low£</v>
      </c>
      <c r="C19" s="49" t="str">
        <f>C17</f>
        <v>500kW, 
£1000/acre</v>
      </c>
      <c r="D19" s="39" t="str">
        <f t="shared" si="13"/>
        <v>10p/kWh, favourable  capex</v>
      </c>
      <c r="E19" s="59">
        <f>'Cash Flow Model'!C72</f>
        <v>0.11172254873909893</v>
      </c>
      <c r="F19" s="59"/>
      <c r="G19" s="59"/>
      <c r="H19" s="84">
        <f>ROUND('Cash Flow Model'!C88,-2)</f>
        <v>20700</v>
      </c>
      <c r="I19" s="84">
        <f>'Cash Flow Model'!C103</f>
        <v>6000</v>
      </c>
      <c r="J19" s="98">
        <f>'Cash Flow Model'!C118</f>
        <v>3.0000000000000016E-2</v>
      </c>
      <c r="K19" s="84">
        <f>'Cash Flow Model'!C165</f>
        <v>2807.7499999999995</v>
      </c>
      <c r="L19" s="109">
        <f>'Cash Flow Model'!C135</f>
        <v>35186.722999999998</v>
      </c>
      <c r="M19" s="116">
        <f>'Cash Flow Model'!C150</f>
        <v>344.63</v>
      </c>
      <c r="N19" s="109">
        <f>ROUND(($M19*'Global assumptions'!D20*10)-$L19,-2)</f>
        <v>13200</v>
      </c>
      <c r="O19" s="118"/>
      <c r="P19" s="13" t="str">
        <f t="shared" si="16"/>
        <v>500kW, high lease. 9p, low£</v>
      </c>
      <c r="Q19" s="172">
        <f t="shared" si="17"/>
        <v>14600</v>
      </c>
      <c r="R19" s="172">
        <f t="shared" si="18"/>
        <v>0</v>
      </c>
      <c r="S19" s="173">
        <f t="shared" si="19"/>
        <v>16700</v>
      </c>
      <c r="T19" s="186">
        <f t="shared" si="20"/>
        <v>2800</v>
      </c>
      <c r="U19" s="188">
        <f t="shared" si="21"/>
        <v>6.8505837370568701E-2</v>
      </c>
      <c r="W19" s="84">
        <f>'Cash Flow Model'!C180</f>
        <v>322200</v>
      </c>
      <c r="X19" s="84">
        <f>'Cash Flow Model'!C195</f>
        <v>319300</v>
      </c>
      <c r="Y19" s="665"/>
      <c r="Z19" s="686" t="str">
        <f t="shared" si="8"/>
        <v>10p, low£</v>
      </c>
      <c r="AA19" s="13"/>
      <c r="AB19" s="668">
        <f t="shared" si="14"/>
        <v>322200</v>
      </c>
      <c r="AC19" s="677"/>
      <c r="AD19" s="677"/>
      <c r="AE19" s="677"/>
      <c r="AF19" s="677"/>
      <c r="AG19" s="677"/>
      <c r="AH19" s="677"/>
      <c r="AI19" s="677"/>
      <c r="AJ19" s="678"/>
      <c r="AL19" s="683" t="str">
        <f t="shared" si="10"/>
        <v>10p, low£</v>
      </c>
      <c r="AM19" s="679"/>
      <c r="AN19" s="668">
        <f t="shared" si="15"/>
        <v>319300</v>
      </c>
      <c r="AO19" s="677"/>
      <c r="AP19" s="677"/>
      <c r="AQ19" s="677"/>
      <c r="AR19" s="677"/>
      <c r="AS19" s="677"/>
      <c r="AT19" s="677"/>
      <c r="AU19" s="677"/>
      <c r="AV19" s="678"/>
    </row>
    <row r="20" spans="1:48" x14ac:dyDescent="0.25">
      <c r="A20" s="181" t="str">
        <f t="shared" ref="A20:A28" si="22">A19</f>
        <v>500kW, high lease</v>
      </c>
      <c r="B20" s="182" t="str">
        <f t="shared" si="13"/>
        <v>10p, high£</v>
      </c>
      <c r="C20" s="49" t="str">
        <f t="shared" ref="C20:C28" si="23">C19</f>
        <v>500kW, 
£1000/acre</v>
      </c>
      <c r="D20" s="39" t="str">
        <f t="shared" si="13"/>
        <v>10p/kWh, high capex</v>
      </c>
      <c r="E20" s="59">
        <f>'Cash Flow Model'!C73</f>
        <v>7.9883795955875581E-2</v>
      </c>
      <c r="F20" s="59"/>
      <c r="G20" s="59"/>
      <c r="H20" s="84">
        <f>ROUND('Cash Flow Model'!C89,-2)</f>
        <v>17200</v>
      </c>
      <c r="I20" s="84">
        <f>'Cash Flow Model'!C104</f>
        <v>2226.835077828795</v>
      </c>
      <c r="J20" s="98">
        <f>'Cash Flow Model'!C119</f>
        <v>2.3746292251411217E-2</v>
      </c>
      <c r="K20" s="84">
        <f>'Cash Flow Model'!C166</f>
        <v>2807.7499999999995</v>
      </c>
      <c r="L20" s="109">
        <f>'Cash Flow Model'!C136</f>
        <v>35186.722999999998</v>
      </c>
      <c r="M20" s="116">
        <f>'Cash Flow Model'!C151</f>
        <v>344.63</v>
      </c>
      <c r="N20" s="109">
        <f>ROUND(($M20*'Global assumptions'!D20*10)-$L20,-2)</f>
        <v>13200</v>
      </c>
      <c r="O20" s="118"/>
      <c r="P20" s="13" t="str">
        <f t="shared" si="16"/>
        <v>500kW, high lease. 10p, low£</v>
      </c>
      <c r="Q20" s="172">
        <f t="shared" si="17"/>
        <v>20700</v>
      </c>
      <c r="R20" s="172">
        <f t="shared" si="18"/>
        <v>6000</v>
      </c>
      <c r="S20" s="173">
        <f t="shared" si="19"/>
        <v>13200</v>
      </c>
      <c r="T20" s="186">
        <f t="shared" si="20"/>
        <v>2800</v>
      </c>
      <c r="U20" s="188">
        <f t="shared" si="21"/>
        <v>0.11172254873909893</v>
      </c>
      <c r="W20" s="84">
        <f>'Cash Flow Model'!C181</f>
        <v>229800</v>
      </c>
      <c r="X20" s="84">
        <f>'Cash Flow Model'!C196</f>
        <v>224600</v>
      </c>
      <c r="Y20" s="665"/>
      <c r="Z20" s="686" t="str">
        <f t="shared" si="8"/>
        <v>10p, high£</v>
      </c>
      <c r="AA20" s="13"/>
      <c r="AB20" s="668">
        <f t="shared" si="14"/>
        <v>229800</v>
      </c>
      <c r="AC20" s="677"/>
      <c r="AD20" s="677"/>
      <c r="AE20" s="677"/>
      <c r="AF20" s="677"/>
      <c r="AG20" s="677"/>
      <c r="AH20" s="677"/>
      <c r="AI20" s="677"/>
      <c r="AJ20" s="678"/>
      <c r="AL20" s="683" t="str">
        <f t="shared" si="10"/>
        <v>10p, high£</v>
      </c>
      <c r="AM20" s="679"/>
      <c r="AN20" s="668">
        <f t="shared" si="15"/>
        <v>224600</v>
      </c>
      <c r="AO20" s="677"/>
      <c r="AP20" s="677"/>
      <c r="AQ20" s="677"/>
      <c r="AR20" s="677"/>
      <c r="AS20" s="677"/>
      <c r="AT20" s="677"/>
      <c r="AU20" s="677"/>
      <c r="AV20" s="678"/>
    </row>
    <row r="21" spans="1:48" x14ac:dyDescent="0.25">
      <c r="A21" s="181" t="str">
        <f t="shared" si="22"/>
        <v>500kW, high lease</v>
      </c>
      <c r="B21" s="182" t="str">
        <f t="shared" si="13"/>
        <v>12p, low£</v>
      </c>
      <c r="C21" s="49" t="str">
        <f t="shared" si="23"/>
        <v>500kW, 
£1000/acre</v>
      </c>
      <c r="D21" s="39" t="str">
        <f t="shared" si="13"/>
        <v>12p/kWh, favourable  capex</v>
      </c>
      <c r="E21" s="59">
        <f>'Cash Flow Model'!C74</f>
        <v>0.13713944514858034</v>
      </c>
      <c r="F21" s="59"/>
      <c r="G21" s="59"/>
      <c r="H21" s="84">
        <f>ROUND('Cash Flow Model'!C90,-2)</f>
        <v>28800</v>
      </c>
      <c r="I21" s="84">
        <f>'Cash Flow Model'!C105</f>
        <v>6000</v>
      </c>
      <c r="J21" s="98">
        <f>'Cash Flow Model'!C120</f>
        <v>3.0000000000000016E-2</v>
      </c>
      <c r="K21" s="84">
        <f>'Cash Flow Model'!C167</f>
        <v>2807.7499999999995</v>
      </c>
      <c r="L21" s="109">
        <f>'Cash Flow Model'!C137</f>
        <v>42224.067599999995</v>
      </c>
      <c r="M21" s="116">
        <f>'Cash Flow Model'!C152</f>
        <v>344.63</v>
      </c>
      <c r="N21" s="109">
        <f>ROUND(($M21*'Global assumptions'!D20*10)-$L21,-2)</f>
        <v>6200</v>
      </c>
      <c r="O21" s="118"/>
      <c r="P21" s="13" t="str">
        <f t="shared" si="16"/>
        <v>500kW, high lease. 10p, high£</v>
      </c>
      <c r="Q21" s="172">
        <f t="shared" si="17"/>
        <v>17200</v>
      </c>
      <c r="R21" s="172">
        <f t="shared" si="18"/>
        <v>2200</v>
      </c>
      <c r="S21" s="173">
        <f t="shared" si="19"/>
        <v>13200</v>
      </c>
      <c r="T21" s="186">
        <f t="shared" si="20"/>
        <v>2800</v>
      </c>
      <c r="U21" s="188">
        <f t="shared" si="21"/>
        <v>7.9883795955875581E-2</v>
      </c>
      <c r="W21" s="84">
        <f>'Cash Flow Model'!C182</f>
        <v>448400</v>
      </c>
      <c r="X21" s="84">
        <f>'Cash Flow Model'!C197</f>
        <v>445500</v>
      </c>
      <c r="Y21" s="665"/>
      <c r="Z21" s="686" t="str">
        <f t="shared" si="8"/>
        <v>12p, low£</v>
      </c>
      <c r="AA21" s="13"/>
      <c r="AB21" s="668">
        <f t="shared" si="14"/>
        <v>448400</v>
      </c>
      <c r="AC21" s="677"/>
      <c r="AD21" s="677"/>
      <c r="AE21" s="677"/>
      <c r="AF21" s="677"/>
      <c r="AG21" s="677"/>
      <c r="AH21" s="677"/>
      <c r="AI21" s="677"/>
      <c r="AJ21" s="678"/>
      <c r="AL21" s="683" t="str">
        <f t="shared" si="10"/>
        <v>12p, low£</v>
      </c>
      <c r="AM21" s="679"/>
      <c r="AN21" s="668">
        <f t="shared" si="15"/>
        <v>445500</v>
      </c>
      <c r="AO21" s="677"/>
      <c r="AP21" s="677"/>
      <c r="AQ21" s="677"/>
      <c r="AR21" s="677"/>
      <c r="AS21" s="677"/>
      <c r="AT21" s="677"/>
      <c r="AU21" s="677"/>
      <c r="AV21" s="678"/>
    </row>
    <row r="22" spans="1:48" x14ac:dyDescent="0.25">
      <c r="A22" s="181" t="str">
        <f t="shared" si="22"/>
        <v>500kW, high lease</v>
      </c>
      <c r="B22" s="182" t="str">
        <f t="shared" si="13"/>
        <v>12p, low£</v>
      </c>
      <c r="C22" s="49" t="str">
        <f t="shared" si="23"/>
        <v>500kW, 
£1000/acre</v>
      </c>
      <c r="D22" s="39" t="str">
        <f t="shared" si="13"/>
        <v>12p/kWh, high capex</v>
      </c>
      <c r="E22" s="59">
        <f>'Cash Flow Model'!C75</f>
        <v>0.10127776413836154</v>
      </c>
      <c r="F22" s="59"/>
      <c r="G22" s="59"/>
      <c r="H22" s="84">
        <f>ROUND('Cash Flow Model'!C91,-2)</f>
        <v>24100</v>
      </c>
      <c r="I22" s="84">
        <f>'Cash Flow Model'!C106</f>
        <v>6000</v>
      </c>
      <c r="J22" s="98">
        <f>'Cash Flow Model'!C121</f>
        <v>3.0000000000000016E-2</v>
      </c>
      <c r="K22" s="84">
        <f>'Cash Flow Model'!C168</f>
        <v>2807.7499999999995</v>
      </c>
      <c r="L22" s="109">
        <f>'Cash Flow Model'!C138</f>
        <v>42224.067599999995</v>
      </c>
      <c r="M22" s="116">
        <f>'Cash Flow Model'!C153</f>
        <v>344.63</v>
      </c>
      <c r="N22" s="109">
        <f>ROUND(($M22*'Global assumptions'!D20*10)-$L22,-2)</f>
        <v>6200</v>
      </c>
      <c r="O22" s="118"/>
      <c r="P22" s="13" t="str">
        <f t="shared" si="16"/>
        <v>500kW, high lease. 12p, low£</v>
      </c>
      <c r="Q22" s="172">
        <f t="shared" si="17"/>
        <v>28800</v>
      </c>
      <c r="R22" s="172">
        <f t="shared" si="18"/>
        <v>6000</v>
      </c>
      <c r="S22" s="173">
        <f t="shared" si="19"/>
        <v>6200</v>
      </c>
      <c r="T22" s="186">
        <f t="shared" si="20"/>
        <v>2800</v>
      </c>
      <c r="U22" s="188">
        <f t="shared" si="21"/>
        <v>0.13713944514858034</v>
      </c>
      <c r="W22" s="84">
        <f>'Cash Flow Model'!C183</f>
        <v>356000</v>
      </c>
      <c r="X22" s="84">
        <f>'Cash Flow Model'!C198</f>
        <v>350800</v>
      </c>
      <c r="Y22" s="665"/>
      <c r="Z22" s="686" t="str">
        <f t="shared" si="8"/>
        <v>12p, low£</v>
      </c>
      <c r="AA22" s="13"/>
      <c r="AB22" s="668">
        <f t="shared" si="14"/>
        <v>356000</v>
      </c>
      <c r="AC22" s="677"/>
      <c r="AD22" s="677"/>
      <c r="AE22" s="677"/>
      <c r="AF22" s="677"/>
      <c r="AG22" s="677"/>
      <c r="AH22" s="677"/>
      <c r="AI22" s="677"/>
      <c r="AJ22" s="678"/>
      <c r="AL22" s="683" t="str">
        <f t="shared" si="10"/>
        <v>12p, low£</v>
      </c>
      <c r="AM22" s="679"/>
      <c r="AN22" s="668">
        <f t="shared" si="15"/>
        <v>350800</v>
      </c>
      <c r="AO22" s="677"/>
      <c r="AP22" s="677"/>
      <c r="AQ22" s="677"/>
      <c r="AR22" s="677"/>
      <c r="AS22" s="677"/>
      <c r="AT22" s="677"/>
      <c r="AU22" s="677"/>
      <c r="AV22" s="678"/>
    </row>
    <row r="23" spans="1:48" x14ac:dyDescent="0.25">
      <c r="A23" s="181" t="str">
        <f t="shared" si="22"/>
        <v>500kW, high lease</v>
      </c>
      <c r="B23" s="182" t="str">
        <f t="shared" si="13"/>
        <v>9p, mid£, grid+</v>
      </c>
      <c r="C23" s="49" t="str">
        <f t="shared" si="23"/>
        <v>500kW, 
£1000/acre</v>
      </c>
      <c r="D23" s="39" t="str">
        <f t="shared" si="13"/>
        <v>9p/kWh, mid capex, high grid</v>
      </c>
      <c r="E23" s="59">
        <f>'Cash Flow Model'!C76</f>
        <v>7.8729389422833584E-2</v>
      </c>
      <c r="F23" s="59"/>
      <c r="G23" s="59"/>
      <c r="H23" s="84">
        <f>ROUND('Cash Flow Model'!C92,-2)</f>
        <v>14600</v>
      </c>
      <c r="I23" s="84">
        <f>'Cash Flow Model'!C107</f>
        <v>3193.5205584167106</v>
      </c>
      <c r="J23" s="98">
        <f>'Cash Flow Model'!C122</f>
        <v>2.5463946253958685E-2</v>
      </c>
      <c r="K23" s="84">
        <f>'Cash Flow Model'!C169</f>
        <v>2807.7499999999995</v>
      </c>
      <c r="L23" s="109">
        <f>'Cash Flow Model'!C139</f>
        <v>31668.050699999996</v>
      </c>
      <c r="M23" s="116">
        <f>'Cash Flow Model'!C154</f>
        <v>344.63</v>
      </c>
      <c r="N23" s="109">
        <f>ROUND(($M23*'Global assumptions'!D20*10)-$L23,-2)</f>
        <v>16700</v>
      </c>
      <c r="O23" s="118"/>
      <c r="P23" s="13" t="str">
        <f t="shared" si="16"/>
        <v>500kW, high lease. 12p, low£</v>
      </c>
      <c r="Q23" s="172">
        <f t="shared" si="17"/>
        <v>24100</v>
      </c>
      <c r="R23" s="172">
        <f t="shared" si="18"/>
        <v>6000</v>
      </c>
      <c r="S23" s="173">
        <f t="shared" si="19"/>
        <v>6200</v>
      </c>
      <c r="T23" s="186">
        <f t="shared" si="20"/>
        <v>2800</v>
      </c>
      <c r="U23" s="188">
        <f t="shared" si="21"/>
        <v>0.10127776413836154</v>
      </c>
      <c r="W23" s="84">
        <f>'Cash Flow Model'!C184</f>
        <v>202800</v>
      </c>
      <c r="X23" s="84">
        <f>'Cash Flow Model'!C199</f>
        <v>198500</v>
      </c>
      <c r="Y23" s="665"/>
      <c r="Z23" s="686" t="str">
        <f t="shared" si="8"/>
        <v>9p, mid£, grid+</v>
      </c>
      <c r="AA23" s="13"/>
      <c r="AB23" s="668">
        <f t="shared" si="14"/>
        <v>202800</v>
      </c>
      <c r="AC23" s="677"/>
      <c r="AD23" s="677"/>
      <c r="AE23" s="677"/>
      <c r="AF23" s="677"/>
      <c r="AG23" s="677"/>
      <c r="AH23" s="677"/>
      <c r="AI23" s="677"/>
      <c r="AJ23" s="678"/>
      <c r="AL23" s="683" t="str">
        <f t="shared" si="10"/>
        <v>9p, mid£, grid+</v>
      </c>
      <c r="AM23" s="679"/>
      <c r="AN23" s="668">
        <f t="shared" si="15"/>
        <v>198500</v>
      </c>
      <c r="AO23" s="677"/>
      <c r="AP23" s="677"/>
      <c r="AQ23" s="677"/>
      <c r="AR23" s="677"/>
      <c r="AS23" s="677"/>
      <c r="AT23" s="677"/>
      <c r="AU23" s="677"/>
      <c r="AV23" s="678"/>
    </row>
    <row r="24" spans="1:48" x14ac:dyDescent="0.25">
      <c r="A24" s="181" t="str">
        <f t="shared" si="22"/>
        <v>500kW, high lease</v>
      </c>
      <c r="B24" s="182" t="str">
        <f t="shared" si="13"/>
        <v>9p, high£, grid+</v>
      </c>
      <c r="C24" s="49" t="str">
        <f t="shared" si="23"/>
        <v>500kW, 
£1000/acre</v>
      </c>
      <c r="D24" s="39" t="str">
        <f t="shared" si="13"/>
        <v>9p/kWh, high capex, high grid</v>
      </c>
      <c r="E24" s="59">
        <f>'Cash Flow Model'!C77</f>
        <v>6.3605542199389742E-2</v>
      </c>
      <c r="F24" s="59"/>
      <c r="G24" s="59"/>
      <c r="H24" s="84">
        <f>ROUND('Cash Flow Model'!C93,-2)</f>
        <v>14600</v>
      </c>
      <c r="I24" s="84">
        <f>'Cash Flow Model'!C108</f>
        <v>0</v>
      </c>
      <c r="J24" s="98">
        <f>'Cash Flow Model'!C123</f>
        <v>1.8750000000000006E-2</v>
      </c>
      <c r="K24" s="84">
        <f>'Cash Flow Model'!C170</f>
        <v>2807.7499999999995</v>
      </c>
      <c r="L24" s="109">
        <f>'Cash Flow Model'!C140</f>
        <v>31668.050699999996</v>
      </c>
      <c r="M24" s="116">
        <f>'Cash Flow Model'!C155</f>
        <v>344.63</v>
      </c>
      <c r="N24" s="109">
        <f>ROUND(($M24*'Global assumptions'!D20*10)-$L24,-2)</f>
        <v>16700</v>
      </c>
      <c r="O24" s="118"/>
      <c r="P24" s="13" t="str">
        <f t="shared" si="16"/>
        <v>500kW, high lease. 9p, mid£, grid+</v>
      </c>
      <c r="Q24" s="172">
        <f t="shared" si="17"/>
        <v>14600</v>
      </c>
      <c r="R24" s="172">
        <f t="shared" si="18"/>
        <v>3200</v>
      </c>
      <c r="S24" s="173">
        <f t="shared" si="19"/>
        <v>16700</v>
      </c>
      <c r="T24" s="186">
        <f t="shared" si="20"/>
        <v>2800</v>
      </c>
      <c r="U24" s="188">
        <f t="shared" si="21"/>
        <v>7.8729389422833584E-2</v>
      </c>
      <c r="W24" s="84">
        <f>'Cash Flow Model'!C185</f>
        <v>147400</v>
      </c>
      <c r="X24" s="84">
        <f>'Cash Flow Model'!C200</f>
        <v>141700</v>
      </c>
      <c r="Y24" s="665"/>
      <c r="Z24" s="686" t="str">
        <f t="shared" si="8"/>
        <v>9p, high£, grid+</v>
      </c>
      <c r="AA24" s="13"/>
      <c r="AB24" s="668">
        <f t="shared" si="14"/>
        <v>147400</v>
      </c>
      <c r="AC24" s="677"/>
      <c r="AD24" s="677"/>
      <c r="AE24" s="677"/>
      <c r="AF24" s="677"/>
      <c r="AG24" s="677"/>
      <c r="AH24" s="677"/>
      <c r="AI24" s="677"/>
      <c r="AJ24" s="678"/>
      <c r="AL24" s="683" t="str">
        <f t="shared" si="10"/>
        <v>9p, high£, grid+</v>
      </c>
      <c r="AM24" s="679"/>
      <c r="AN24" s="668">
        <f t="shared" si="15"/>
        <v>141700</v>
      </c>
      <c r="AO24" s="677"/>
      <c r="AP24" s="677"/>
      <c r="AQ24" s="677"/>
      <c r="AR24" s="677"/>
      <c r="AS24" s="677"/>
      <c r="AT24" s="677"/>
      <c r="AU24" s="677"/>
      <c r="AV24" s="678"/>
    </row>
    <row r="25" spans="1:48" x14ac:dyDescent="0.25">
      <c r="A25" s="181" t="str">
        <f t="shared" si="22"/>
        <v>500kW, high lease</v>
      </c>
      <c r="B25" s="182" t="str">
        <f t="shared" si="13"/>
        <v>10p, mid£, grid+</v>
      </c>
      <c r="C25" s="49" t="str">
        <f t="shared" si="23"/>
        <v>500kW, 
£1000/acre</v>
      </c>
      <c r="D25" s="39" t="str">
        <f t="shared" si="13"/>
        <v>10p/kWh, mid capex, high grid</v>
      </c>
      <c r="E25" s="59">
        <f>'Cash Flow Model'!C78</f>
        <v>9.0745523011185547E-2</v>
      </c>
      <c r="F25" s="59"/>
      <c r="G25" s="59"/>
      <c r="H25" s="84">
        <f>ROUND('Cash Flow Model'!C94,-2)</f>
        <v>17900</v>
      </c>
      <c r="I25" s="84">
        <f>'Cash Flow Model'!C109</f>
        <v>6000</v>
      </c>
      <c r="J25" s="98">
        <f>'Cash Flow Model'!C124</f>
        <v>2.9901286109994679E-2</v>
      </c>
      <c r="K25" s="84">
        <f>'Cash Flow Model'!C171</f>
        <v>2807.7499999999995</v>
      </c>
      <c r="L25" s="109">
        <f>'Cash Flow Model'!C141</f>
        <v>35186.722999999998</v>
      </c>
      <c r="M25" s="116">
        <f>'Cash Flow Model'!C156</f>
        <v>344.63</v>
      </c>
      <c r="N25" s="109">
        <f>ROUND(($M25*'Global assumptions'!D20*10)-$L25,-2)</f>
        <v>13200</v>
      </c>
      <c r="O25" s="118"/>
      <c r="P25" s="13" t="str">
        <f t="shared" si="16"/>
        <v>500kW, high lease. 9p, high£, grid+</v>
      </c>
      <c r="Q25" s="172">
        <f t="shared" si="17"/>
        <v>14600</v>
      </c>
      <c r="R25" s="172">
        <f t="shared" si="18"/>
        <v>0</v>
      </c>
      <c r="S25" s="173">
        <f t="shared" si="19"/>
        <v>16700</v>
      </c>
      <c r="T25" s="186">
        <f t="shared" si="20"/>
        <v>2800</v>
      </c>
      <c r="U25" s="188">
        <f t="shared" si="21"/>
        <v>6.3605542199389742E-2</v>
      </c>
      <c r="W25" s="84">
        <f>'Cash Flow Model'!C186</f>
        <v>265900</v>
      </c>
      <c r="X25" s="84">
        <f>'Cash Flow Model'!C201</f>
        <v>261600</v>
      </c>
      <c r="Y25" s="665"/>
      <c r="Z25" s="686" t="str">
        <f t="shared" si="8"/>
        <v>10p, mid£, grid+</v>
      </c>
      <c r="AA25" s="13"/>
      <c r="AB25" s="668">
        <f t="shared" si="14"/>
        <v>265900</v>
      </c>
      <c r="AC25" s="677"/>
      <c r="AD25" s="677"/>
      <c r="AE25" s="677"/>
      <c r="AF25" s="677"/>
      <c r="AG25" s="677"/>
      <c r="AH25" s="677"/>
      <c r="AI25" s="677"/>
      <c r="AJ25" s="678"/>
      <c r="AL25" s="683" t="str">
        <f t="shared" si="10"/>
        <v>10p, mid£, grid+</v>
      </c>
      <c r="AM25" s="679"/>
      <c r="AN25" s="668">
        <f t="shared" si="15"/>
        <v>261600</v>
      </c>
      <c r="AO25" s="677"/>
      <c r="AP25" s="677"/>
      <c r="AQ25" s="677"/>
      <c r="AR25" s="677"/>
      <c r="AS25" s="677"/>
      <c r="AT25" s="677"/>
      <c r="AU25" s="677"/>
      <c r="AV25" s="678"/>
    </row>
    <row r="26" spans="1:48" x14ac:dyDescent="0.25">
      <c r="A26" s="181" t="str">
        <f t="shared" si="22"/>
        <v>500kW, high lease</v>
      </c>
      <c r="B26" s="182" t="str">
        <f t="shared" si="13"/>
        <v>10p, high£, grid+</v>
      </c>
      <c r="C26" s="49" t="str">
        <f t="shared" si="23"/>
        <v>500kW, 
£1000/acre</v>
      </c>
      <c r="D26" s="39" t="str">
        <f t="shared" si="13"/>
        <v>10p/kWh, high capex, high grid</v>
      </c>
      <c r="E26" s="63">
        <f>'Cash Flow Model'!C79</f>
        <v>7.4689957790146533E-2</v>
      </c>
      <c r="F26" s="63"/>
      <c r="G26" s="63"/>
      <c r="H26" s="84">
        <f>ROUND('Cash Flow Model'!C95,-2)</f>
        <v>17200</v>
      </c>
      <c r="I26" s="84">
        <f>'Cash Flow Model'!C110</f>
        <v>0</v>
      </c>
      <c r="J26" s="98">
        <f>'Cash Flow Model'!C125</f>
        <v>1.9856883755121707E-2</v>
      </c>
      <c r="K26" s="84">
        <f>'Cash Flow Model'!C172</f>
        <v>2807.7499999999995</v>
      </c>
      <c r="L26" s="109">
        <f>'Cash Flow Model'!C142</f>
        <v>35186.722999999998</v>
      </c>
      <c r="M26" s="116">
        <f>'Cash Flow Model'!C157</f>
        <v>344.63</v>
      </c>
      <c r="N26" s="109">
        <f>ROUND(($M26*'Global assumptions'!D20*10)-$L26,-2)</f>
        <v>13200</v>
      </c>
      <c r="O26" s="118"/>
      <c r="P26" s="13" t="str">
        <f t="shared" si="16"/>
        <v>500kW, high lease. 10p, mid£, grid+</v>
      </c>
      <c r="Q26" s="172">
        <f t="shared" si="17"/>
        <v>17900</v>
      </c>
      <c r="R26" s="172">
        <f t="shared" si="18"/>
        <v>6000</v>
      </c>
      <c r="S26" s="173">
        <f t="shared" si="19"/>
        <v>13200</v>
      </c>
      <c r="T26" s="186">
        <f t="shared" si="20"/>
        <v>2800</v>
      </c>
      <c r="U26" s="188">
        <f t="shared" si="21"/>
        <v>9.0745523011185547E-2</v>
      </c>
      <c r="W26" s="84">
        <f>'Cash Flow Model'!C187</f>
        <v>210500</v>
      </c>
      <c r="X26" s="84">
        <f>'Cash Flow Model'!C202</f>
        <v>204800</v>
      </c>
      <c r="Y26" s="665"/>
      <c r="Z26" s="686" t="str">
        <f t="shared" si="8"/>
        <v>10p, high£, grid+</v>
      </c>
      <c r="AA26" s="13"/>
      <c r="AB26" s="668">
        <f t="shared" si="14"/>
        <v>210500</v>
      </c>
      <c r="AC26" s="677"/>
      <c r="AD26" s="677"/>
      <c r="AE26" s="677"/>
      <c r="AF26" s="677"/>
      <c r="AG26" s="677"/>
      <c r="AH26" s="677"/>
      <c r="AI26" s="677"/>
      <c r="AJ26" s="678"/>
      <c r="AL26" s="683" t="str">
        <f t="shared" si="10"/>
        <v>10p, high£, grid+</v>
      </c>
      <c r="AM26" s="679"/>
      <c r="AN26" s="668">
        <f t="shared" si="15"/>
        <v>204800</v>
      </c>
      <c r="AO26" s="677"/>
      <c r="AP26" s="677"/>
      <c r="AQ26" s="677"/>
      <c r="AR26" s="677"/>
      <c r="AS26" s="677"/>
      <c r="AT26" s="677"/>
      <c r="AU26" s="677"/>
      <c r="AV26" s="678"/>
    </row>
    <row r="27" spans="1:48" x14ac:dyDescent="0.25">
      <c r="A27" s="181" t="str">
        <f t="shared" si="22"/>
        <v>500kW, high lease</v>
      </c>
      <c r="B27" s="182" t="str">
        <f t="shared" si="13"/>
        <v>12p, mid£, grid+</v>
      </c>
      <c r="C27" s="49" t="str">
        <f t="shared" si="23"/>
        <v>500kW, 
£1000/acre</v>
      </c>
      <c r="D27" s="39" t="str">
        <f t="shared" si="13"/>
        <v>12p/kWh, mid capex, high grid</v>
      </c>
      <c r="E27" s="59">
        <f>'Cash Flow Model'!C80</f>
        <v>0.11344488998298297</v>
      </c>
      <c r="F27" s="59"/>
      <c r="G27" s="59"/>
      <c r="H27" s="84">
        <f>ROUND('Cash Flow Model'!C96,-2)</f>
        <v>25900</v>
      </c>
      <c r="I27" s="84">
        <f>'Cash Flow Model'!C111</f>
        <v>6000</v>
      </c>
      <c r="J27" s="98">
        <f>'Cash Flow Model'!C126</f>
        <v>3.0000000000000016E-2</v>
      </c>
      <c r="K27" s="84">
        <f>'Cash Flow Model'!C173</f>
        <v>2807.7499999999995</v>
      </c>
      <c r="L27" s="109">
        <f>'Cash Flow Model'!C143</f>
        <v>42224.067599999995</v>
      </c>
      <c r="M27" s="116">
        <f>'Cash Flow Model'!C158</f>
        <v>344.63</v>
      </c>
      <c r="N27" s="109">
        <f>ROUND(($M27*'Global assumptions'!D20*10)-$L27,-2)</f>
        <v>6200</v>
      </c>
      <c r="O27" s="118"/>
      <c r="P27" s="13" t="str">
        <f t="shared" si="16"/>
        <v>500kW, high lease. 10p, high£, grid+</v>
      </c>
      <c r="Q27" s="172">
        <f t="shared" si="17"/>
        <v>17200</v>
      </c>
      <c r="R27" s="172">
        <f t="shared" si="18"/>
        <v>0</v>
      </c>
      <c r="S27" s="173">
        <f t="shared" si="19"/>
        <v>13200</v>
      </c>
      <c r="T27" s="186">
        <f t="shared" si="20"/>
        <v>2800</v>
      </c>
      <c r="U27" s="188">
        <f t="shared" si="21"/>
        <v>7.4689957790146533E-2</v>
      </c>
      <c r="W27" s="84">
        <f>'Cash Flow Model'!C188</f>
        <v>392100</v>
      </c>
      <c r="X27" s="84">
        <f>'Cash Flow Model'!C203</f>
        <v>387800</v>
      </c>
      <c r="Y27" s="665"/>
      <c r="Z27" s="686" t="str">
        <f t="shared" si="8"/>
        <v>12p, mid£, grid+</v>
      </c>
      <c r="AA27" s="13"/>
      <c r="AB27" s="668">
        <f t="shared" si="14"/>
        <v>392100</v>
      </c>
      <c r="AC27" s="677"/>
      <c r="AD27" s="677"/>
      <c r="AE27" s="677"/>
      <c r="AF27" s="677"/>
      <c r="AG27" s="677"/>
      <c r="AH27" s="677"/>
      <c r="AI27" s="677"/>
      <c r="AJ27" s="678"/>
      <c r="AL27" s="683" t="str">
        <f t="shared" si="10"/>
        <v>12p, mid£, grid+</v>
      </c>
      <c r="AM27" s="679"/>
      <c r="AN27" s="668">
        <f t="shared" si="15"/>
        <v>387800</v>
      </c>
      <c r="AO27" s="677"/>
      <c r="AP27" s="677"/>
      <c r="AQ27" s="677"/>
      <c r="AR27" s="677"/>
      <c r="AS27" s="677"/>
      <c r="AT27" s="677"/>
      <c r="AU27" s="677"/>
      <c r="AV27" s="678"/>
    </row>
    <row r="28" spans="1:48" ht="13.5" customHeight="1" x14ac:dyDescent="0.25">
      <c r="A28" s="181" t="str">
        <f t="shared" si="22"/>
        <v>500kW, high lease</v>
      </c>
      <c r="B28" s="182" t="str">
        <f t="shared" si="13"/>
        <v>12p, high£, grid+</v>
      </c>
      <c r="C28" s="49" t="str">
        <f t="shared" si="23"/>
        <v>500kW, 
£1000/acre</v>
      </c>
      <c r="D28" s="39" t="str">
        <f t="shared" si="13"/>
        <v>12p/kWh, high capex, high grid</v>
      </c>
      <c r="E28" s="59">
        <f>'Cash Flow Model'!C81</f>
        <v>9.5484962961220443E-2</v>
      </c>
      <c r="F28" s="59"/>
      <c r="G28" s="59"/>
      <c r="H28" s="84">
        <f>ROUND('Cash Flow Model'!C97,-2)</f>
        <v>23100</v>
      </c>
      <c r="I28" s="84">
        <f>'Cash Flow Model'!C112</f>
        <v>6000</v>
      </c>
      <c r="J28" s="98">
        <f>'Cash Flow Model'!C127</f>
        <v>2.988660604484869E-2</v>
      </c>
      <c r="K28" s="84">
        <f>'Cash Flow Model'!C174</f>
        <v>2807.7499999999995</v>
      </c>
      <c r="L28" s="110">
        <f>'Cash Flow Model'!C144</f>
        <v>42224.067599999995</v>
      </c>
      <c r="M28" s="117">
        <f>'Cash Flow Model'!C159</f>
        <v>344.63</v>
      </c>
      <c r="N28" s="110">
        <f>ROUND(($M28*'Global assumptions'!D20*10)-$L28,-2)</f>
        <v>6200</v>
      </c>
      <c r="O28" s="118"/>
      <c r="P28" s="13" t="str">
        <f t="shared" si="16"/>
        <v>500kW, high lease. 12p, mid£, grid+</v>
      </c>
      <c r="Q28" s="172">
        <f t="shared" si="17"/>
        <v>25900</v>
      </c>
      <c r="R28" s="172">
        <f t="shared" si="18"/>
        <v>6000</v>
      </c>
      <c r="S28" s="173">
        <f t="shared" si="19"/>
        <v>6200</v>
      </c>
      <c r="T28" s="186">
        <f t="shared" si="20"/>
        <v>2800</v>
      </c>
      <c r="U28" s="188">
        <f t="shared" si="21"/>
        <v>0.11344488998298297</v>
      </c>
      <c r="W28" s="84">
        <f>'Cash Flow Model'!C189</f>
        <v>336700</v>
      </c>
      <c r="X28" s="84">
        <f>'Cash Flow Model'!C204</f>
        <v>331000</v>
      </c>
      <c r="Y28" s="665"/>
      <c r="Z28" s="686" t="str">
        <f t="shared" si="8"/>
        <v>12p, high£, grid+</v>
      </c>
      <c r="AA28" s="13"/>
      <c r="AB28" s="668">
        <f t="shared" si="14"/>
        <v>336700</v>
      </c>
      <c r="AC28" s="677"/>
      <c r="AD28" s="677"/>
      <c r="AE28" s="677"/>
      <c r="AF28" s="677"/>
      <c r="AG28" s="677"/>
      <c r="AH28" s="677"/>
      <c r="AI28" s="677"/>
      <c r="AJ28" s="678"/>
      <c r="AL28" s="683" t="str">
        <f t="shared" si="10"/>
        <v>12p, high£, grid+</v>
      </c>
      <c r="AM28" s="679"/>
      <c r="AN28" s="668">
        <f t="shared" si="15"/>
        <v>331000</v>
      </c>
      <c r="AO28" s="677"/>
      <c r="AP28" s="677"/>
      <c r="AQ28" s="677"/>
      <c r="AR28" s="677"/>
      <c r="AS28" s="677"/>
      <c r="AT28" s="677"/>
      <c r="AU28" s="677"/>
      <c r="AV28" s="678"/>
    </row>
    <row r="29" spans="1:48" ht="12.75" customHeight="1" x14ac:dyDescent="0.25">
      <c r="A29" s="179" t="str">
        <f>'Costs (by site)'!G4</f>
        <v>300kW, low lease</v>
      </c>
      <c r="B29" s="180" t="str">
        <f>B17</f>
        <v>9p, low£</v>
      </c>
      <c r="C29" s="48" t="str">
        <f>'Costs (by site)'!G3</f>
        <v>300kW, 
£500/acre</v>
      </c>
      <c r="D29" s="51" t="str">
        <f>D17</f>
        <v>9p/kWh, favourable  capex</v>
      </c>
      <c r="E29" s="60">
        <f>'Cash Flow Model'!D70</f>
        <v>0.10776306194774188</v>
      </c>
      <c r="F29" s="60"/>
      <c r="G29" s="60"/>
      <c r="H29" s="83">
        <f>ROUND('Cash Flow Model'!D86,-2)</f>
        <v>8900</v>
      </c>
      <c r="I29" s="83">
        <f>'Cash Flow Model'!D101</f>
        <v>4939.95</v>
      </c>
      <c r="J29" s="97">
        <f>'Cash Flow Model'!D116</f>
        <v>3.0000000000000016E-2</v>
      </c>
      <c r="K29" s="83">
        <f>'Cash Flow Model'!D163</f>
        <v>842.32500000000005</v>
      </c>
      <c r="L29" s="103">
        <f>'Cash Flow Model'!D133</f>
        <v>19000.830419999998</v>
      </c>
      <c r="M29" s="115">
        <f>'Cash Flow Model'!D148</f>
        <v>206.77799999999999</v>
      </c>
      <c r="N29" s="103">
        <f>ROUND(($M29*'Global assumptions'!D20*10)-$L29,-2)</f>
        <v>10000</v>
      </c>
      <c r="O29" s="118"/>
      <c r="P29" s="19" t="str">
        <f t="shared" si="16"/>
        <v>500kW, high lease. 12p, high£, grid+</v>
      </c>
      <c r="Q29" s="174">
        <f t="shared" si="17"/>
        <v>23100</v>
      </c>
      <c r="R29" s="174">
        <f t="shared" si="18"/>
        <v>6000</v>
      </c>
      <c r="S29" s="175">
        <f t="shared" si="19"/>
        <v>6200</v>
      </c>
      <c r="T29" s="187">
        <f t="shared" si="20"/>
        <v>2800</v>
      </c>
      <c r="U29" s="188">
        <f t="shared" si="21"/>
        <v>9.5484962961220443E-2</v>
      </c>
      <c r="W29" s="83">
        <f>'Cash Flow Model'!D178</f>
        <v>157000</v>
      </c>
      <c r="X29" s="83">
        <f>'Cash Flow Model'!D193</f>
        <v>157000</v>
      </c>
      <c r="Y29" s="665"/>
      <c r="Z29" s="686" t="str">
        <f t="shared" si="8"/>
        <v>9p, low£</v>
      </c>
      <c r="AA29" s="13"/>
      <c r="AB29" s="6"/>
      <c r="AC29" s="667">
        <f t="shared" ref="AC29:AC40" si="24">W29</f>
        <v>157000</v>
      </c>
      <c r="AD29" s="677"/>
      <c r="AE29" s="677"/>
      <c r="AF29" s="677"/>
      <c r="AG29" s="677"/>
      <c r="AH29" s="677"/>
      <c r="AI29" s="677"/>
      <c r="AJ29" s="678"/>
      <c r="AL29" s="683" t="str">
        <f t="shared" si="10"/>
        <v>9p, low£</v>
      </c>
      <c r="AM29" s="679"/>
      <c r="AN29" s="677"/>
      <c r="AO29" s="667">
        <f t="shared" ref="AO29:AO40" si="25">X29</f>
        <v>157000</v>
      </c>
      <c r="AP29" s="677"/>
      <c r="AQ29" s="677"/>
      <c r="AR29" s="677"/>
      <c r="AS29" s="677"/>
      <c r="AT29" s="677"/>
      <c r="AU29" s="677"/>
      <c r="AV29" s="678"/>
    </row>
    <row r="30" spans="1:48" x14ac:dyDescent="0.25">
      <c r="A30" s="181" t="str">
        <f>A29</f>
        <v>300kW, low lease</v>
      </c>
      <c r="B30" s="182" t="str">
        <f t="shared" ref="B30:D76" si="26">B18</f>
        <v>9p, low£</v>
      </c>
      <c r="C30" s="49" t="str">
        <f>C29</f>
        <v>300kW, 
£500/acre</v>
      </c>
      <c r="D30" s="39" t="str">
        <f t="shared" si="26"/>
        <v>9p/kWh, high capex</v>
      </c>
      <c r="E30" s="59">
        <f>'Cash Flow Model'!D71</f>
        <v>7.2468412261148085E-2</v>
      </c>
      <c r="F30" s="59"/>
      <c r="G30" s="59"/>
      <c r="H30" s="84">
        <f>ROUND('Cash Flow Model'!D87,-2)</f>
        <v>5300</v>
      </c>
      <c r="I30" s="84">
        <f>'Cash Flow Model'!D102</f>
        <v>6000</v>
      </c>
      <c r="J30" s="98">
        <f>'Cash Flow Model'!D117</f>
        <v>3.0000000000000016E-2</v>
      </c>
      <c r="K30" s="84">
        <f>'Cash Flow Model'!D164</f>
        <v>842.32500000000005</v>
      </c>
      <c r="L30" s="109">
        <f>'Cash Flow Model'!D134</f>
        <v>19000.830419999998</v>
      </c>
      <c r="M30" s="116">
        <f>'Cash Flow Model'!D149</f>
        <v>206.77799999999999</v>
      </c>
      <c r="N30" s="109">
        <f>ROUND(($M30*'Global assumptions'!D20*10)-$L30,-2)</f>
        <v>10000</v>
      </c>
      <c r="O30" s="118"/>
      <c r="P30" s="13"/>
      <c r="Q30" s="172"/>
      <c r="R30" s="172"/>
      <c r="S30" s="173"/>
      <c r="T30" s="186"/>
      <c r="U30" s="188"/>
      <c r="W30" s="84">
        <f>'Cash Flow Model'!D179</f>
        <v>101300</v>
      </c>
      <c r="X30" s="84">
        <f>'Cash Flow Model'!D194</f>
        <v>100700</v>
      </c>
      <c r="Y30" s="665"/>
      <c r="Z30" s="686" t="str">
        <f t="shared" si="8"/>
        <v>9p, low£</v>
      </c>
      <c r="AA30" s="13"/>
      <c r="AB30" s="6"/>
      <c r="AC30" s="668">
        <f t="shared" si="24"/>
        <v>101300</v>
      </c>
      <c r="AD30" s="677"/>
      <c r="AE30" s="677"/>
      <c r="AF30" s="677"/>
      <c r="AG30" s="677"/>
      <c r="AH30" s="677"/>
      <c r="AI30" s="677"/>
      <c r="AJ30" s="678"/>
      <c r="AL30" s="683" t="str">
        <f t="shared" si="10"/>
        <v>9p, low£</v>
      </c>
      <c r="AM30" s="679"/>
      <c r="AN30" s="677"/>
      <c r="AO30" s="668">
        <f t="shared" si="25"/>
        <v>100700</v>
      </c>
      <c r="AP30" s="677"/>
      <c r="AQ30" s="677"/>
      <c r="AR30" s="677"/>
      <c r="AS30" s="677"/>
      <c r="AT30" s="677"/>
      <c r="AU30" s="677"/>
      <c r="AV30" s="678"/>
    </row>
    <row r="31" spans="1:48" x14ac:dyDescent="0.25">
      <c r="A31" s="181" t="str">
        <f>A29</f>
        <v>300kW, low lease</v>
      </c>
      <c r="B31" s="182" t="str">
        <f t="shared" si="26"/>
        <v>10p, low£</v>
      </c>
      <c r="C31" s="49" t="str">
        <f>C29</f>
        <v>300kW, 
£500/acre</v>
      </c>
      <c r="D31" s="39" t="str">
        <f t="shared" si="26"/>
        <v>10p/kWh, favourable  capex</v>
      </c>
      <c r="E31" s="59">
        <f>'Cash Flow Model'!D72</f>
        <v>0.12277268369144378</v>
      </c>
      <c r="F31" s="59"/>
      <c r="G31" s="59"/>
      <c r="H31" s="84">
        <f>ROUND('Cash Flow Model'!D88,-2)</f>
        <v>11300</v>
      </c>
      <c r="I31" s="84">
        <f>'Cash Flow Model'!D103</f>
        <v>4939.95</v>
      </c>
      <c r="J31" s="98">
        <f>'Cash Flow Model'!D118</f>
        <v>3.0000000000000016E-2</v>
      </c>
      <c r="K31" s="84">
        <f>'Cash Flow Model'!D165</f>
        <v>842.32500000000005</v>
      </c>
      <c r="L31" s="109">
        <f>'Cash Flow Model'!D135</f>
        <v>21112.033799999997</v>
      </c>
      <c r="M31" s="116">
        <f>'Cash Flow Model'!D150</f>
        <v>206.77799999999999</v>
      </c>
      <c r="N31" s="109">
        <f>ROUND(($M31*'Global assumptions'!D20*10)-$L31,-2)</f>
        <v>7900</v>
      </c>
      <c r="O31" s="118"/>
      <c r="P31" s="17" t="str">
        <f t="shared" ref="P31:P42" si="27">A29&amp;". "&amp;B29</f>
        <v>300kW, low lease. 9p, low£</v>
      </c>
      <c r="Q31" s="170">
        <f t="shared" ref="Q31:Q42" si="28">ROUND(H29,-2)</f>
        <v>8900</v>
      </c>
      <c r="R31" s="170">
        <f t="shared" ref="R31:R42" si="29">ROUND(I29,-2)</f>
        <v>4900</v>
      </c>
      <c r="S31" s="171">
        <f t="shared" ref="S31:S42" si="30">N29</f>
        <v>10000</v>
      </c>
      <c r="T31" s="185">
        <f t="shared" ref="T31:T42" si="31">ROUND(K29,-2)</f>
        <v>800</v>
      </c>
      <c r="U31" s="188">
        <f t="shared" ref="U31:U42" si="32">E29</f>
        <v>0.10776306194774188</v>
      </c>
      <c r="W31" s="84">
        <f>'Cash Flow Model'!D180</f>
        <v>194900</v>
      </c>
      <c r="X31" s="84">
        <f>'Cash Flow Model'!D195</f>
        <v>194900</v>
      </c>
      <c r="Y31" s="665"/>
      <c r="Z31" s="686" t="str">
        <f t="shared" si="8"/>
        <v>10p, low£</v>
      </c>
      <c r="AA31" s="13"/>
      <c r="AB31" s="6"/>
      <c r="AC31" s="668">
        <f t="shared" si="24"/>
        <v>194900</v>
      </c>
      <c r="AD31" s="677"/>
      <c r="AE31" s="677"/>
      <c r="AF31" s="677"/>
      <c r="AG31" s="677"/>
      <c r="AH31" s="677"/>
      <c r="AI31" s="677"/>
      <c r="AJ31" s="678"/>
      <c r="AL31" s="683" t="str">
        <f t="shared" si="10"/>
        <v>10p, low£</v>
      </c>
      <c r="AM31" s="679"/>
      <c r="AN31" s="677"/>
      <c r="AO31" s="668">
        <f t="shared" si="25"/>
        <v>194900</v>
      </c>
      <c r="AP31" s="677"/>
      <c r="AQ31" s="677"/>
      <c r="AR31" s="677"/>
      <c r="AS31" s="677"/>
      <c r="AT31" s="677"/>
      <c r="AU31" s="677"/>
      <c r="AV31" s="678"/>
    </row>
    <row r="32" spans="1:48" x14ac:dyDescent="0.25">
      <c r="A32" s="181" t="str">
        <f t="shared" ref="A32:A40" si="33">A31</f>
        <v>300kW, low lease</v>
      </c>
      <c r="B32" s="182" t="str">
        <f t="shared" si="26"/>
        <v>10p, high£</v>
      </c>
      <c r="C32" s="49" t="str">
        <f t="shared" ref="C32:C40" si="34">C31</f>
        <v>300kW, 
£500/acre</v>
      </c>
      <c r="D32" s="39" t="str">
        <f t="shared" si="26"/>
        <v>10p/kWh, high capex</v>
      </c>
      <c r="E32" s="59">
        <f>'Cash Flow Model'!D73</f>
        <v>8.4922732983285121E-2</v>
      </c>
      <c r="F32" s="59"/>
      <c r="G32" s="59"/>
      <c r="H32" s="84">
        <f>ROUND('Cash Flow Model'!D89,-2)</f>
        <v>7800</v>
      </c>
      <c r="I32" s="84">
        <f>'Cash Flow Model'!D104</f>
        <v>6000</v>
      </c>
      <c r="J32" s="98">
        <f>'Cash Flow Model'!D119</f>
        <v>3.0000000000000016E-2</v>
      </c>
      <c r="K32" s="84">
        <f>'Cash Flow Model'!D166</f>
        <v>842.32500000000005</v>
      </c>
      <c r="L32" s="109">
        <f>'Cash Flow Model'!D136</f>
        <v>21112.033799999997</v>
      </c>
      <c r="M32" s="116">
        <f>'Cash Flow Model'!D151</f>
        <v>206.77799999999999</v>
      </c>
      <c r="N32" s="109">
        <f>ROUND(($M32*'Global assumptions'!D20*10)-$L32,-2)</f>
        <v>7900</v>
      </c>
      <c r="O32" s="118"/>
      <c r="P32" s="13" t="str">
        <f t="shared" si="27"/>
        <v>300kW, low lease. 9p, low£</v>
      </c>
      <c r="Q32" s="172">
        <f t="shared" si="28"/>
        <v>5300</v>
      </c>
      <c r="R32" s="172">
        <f t="shared" si="29"/>
        <v>6000</v>
      </c>
      <c r="S32" s="173">
        <f t="shared" si="30"/>
        <v>10000</v>
      </c>
      <c r="T32" s="186">
        <f t="shared" si="31"/>
        <v>800</v>
      </c>
      <c r="U32" s="188">
        <f t="shared" si="32"/>
        <v>7.2468412261148085E-2</v>
      </c>
      <c r="W32" s="84">
        <f>'Cash Flow Model'!D181</f>
        <v>139100</v>
      </c>
      <c r="X32" s="84">
        <f>'Cash Flow Model'!D196</f>
        <v>138600</v>
      </c>
      <c r="Y32" s="665"/>
      <c r="Z32" s="686" t="str">
        <f t="shared" si="8"/>
        <v>10p, high£</v>
      </c>
      <c r="AA32" s="13"/>
      <c r="AB32" s="6"/>
      <c r="AC32" s="668">
        <f t="shared" si="24"/>
        <v>139100</v>
      </c>
      <c r="AD32" s="677"/>
      <c r="AE32" s="677"/>
      <c r="AF32" s="677"/>
      <c r="AG32" s="677"/>
      <c r="AH32" s="677"/>
      <c r="AI32" s="677"/>
      <c r="AJ32" s="678"/>
      <c r="AL32" s="683" t="str">
        <f t="shared" si="10"/>
        <v>10p, high£</v>
      </c>
      <c r="AM32" s="679"/>
      <c r="AN32" s="677"/>
      <c r="AO32" s="668">
        <f t="shared" si="25"/>
        <v>138600</v>
      </c>
      <c r="AP32" s="677"/>
      <c r="AQ32" s="677"/>
      <c r="AR32" s="677"/>
      <c r="AS32" s="677"/>
      <c r="AT32" s="677"/>
      <c r="AU32" s="677"/>
      <c r="AV32" s="678"/>
    </row>
    <row r="33" spans="1:48" x14ac:dyDescent="0.25">
      <c r="A33" s="181" t="str">
        <f t="shared" si="33"/>
        <v>300kW, low lease</v>
      </c>
      <c r="B33" s="182" t="str">
        <f t="shared" si="26"/>
        <v>12p, low£</v>
      </c>
      <c r="C33" s="49" t="str">
        <f t="shared" si="34"/>
        <v>300kW, 
£500/acre</v>
      </c>
      <c r="D33" s="39" t="str">
        <f t="shared" si="26"/>
        <v>12p/kWh, favourable  capex</v>
      </c>
      <c r="E33" s="59">
        <f>'Cash Flow Model'!D74</f>
        <v>0.15140380627329386</v>
      </c>
      <c r="F33" s="59"/>
      <c r="G33" s="59"/>
      <c r="H33" s="84">
        <f>ROUND('Cash Flow Model'!D90,-2)</f>
        <v>16200</v>
      </c>
      <c r="I33" s="84">
        <f>'Cash Flow Model'!D105</f>
        <v>4939.95</v>
      </c>
      <c r="J33" s="98">
        <f>'Cash Flow Model'!D120</f>
        <v>3.0000000000000016E-2</v>
      </c>
      <c r="K33" s="84">
        <f>'Cash Flow Model'!D167</f>
        <v>842.32500000000005</v>
      </c>
      <c r="L33" s="109">
        <f>'Cash Flow Model'!D137</f>
        <v>25334.440559999995</v>
      </c>
      <c r="M33" s="116">
        <f>'Cash Flow Model'!D152</f>
        <v>206.77799999999999</v>
      </c>
      <c r="N33" s="109">
        <f>ROUND(($M33*'Global assumptions'!D20*10)-$L33,-2)</f>
        <v>3700</v>
      </c>
      <c r="O33" s="118"/>
      <c r="P33" s="13" t="str">
        <f t="shared" si="27"/>
        <v>300kW, low lease. 10p, low£</v>
      </c>
      <c r="Q33" s="172">
        <f t="shared" si="28"/>
        <v>11300</v>
      </c>
      <c r="R33" s="172">
        <f t="shared" si="29"/>
        <v>4900</v>
      </c>
      <c r="S33" s="173">
        <f t="shared" si="30"/>
        <v>7900</v>
      </c>
      <c r="T33" s="186">
        <f t="shared" si="31"/>
        <v>800</v>
      </c>
      <c r="U33" s="188">
        <f t="shared" si="32"/>
        <v>0.12277268369144378</v>
      </c>
      <c r="W33" s="84">
        <f>'Cash Flow Model'!D182</f>
        <v>270600</v>
      </c>
      <c r="X33" s="84">
        <f>'Cash Flow Model'!D197</f>
        <v>270600</v>
      </c>
      <c r="Y33" s="665"/>
      <c r="Z33" s="686" t="str">
        <f t="shared" si="8"/>
        <v>12p, low£</v>
      </c>
      <c r="AA33" s="13"/>
      <c r="AB33" s="6"/>
      <c r="AC33" s="668">
        <f t="shared" si="24"/>
        <v>270600</v>
      </c>
      <c r="AD33" s="677"/>
      <c r="AE33" s="677"/>
      <c r="AF33" s="677"/>
      <c r="AG33" s="677"/>
      <c r="AH33" s="677"/>
      <c r="AI33" s="677"/>
      <c r="AJ33" s="678"/>
      <c r="AL33" s="683" t="str">
        <f t="shared" si="10"/>
        <v>12p, low£</v>
      </c>
      <c r="AM33" s="679"/>
      <c r="AN33" s="677"/>
      <c r="AO33" s="668">
        <f t="shared" si="25"/>
        <v>270600</v>
      </c>
      <c r="AP33" s="677"/>
      <c r="AQ33" s="677"/>
      <c r="AR33" s="677"/>
      <c r="AS33" s="677"/>
      <c r="AT33" s="677"/>
      <c r="AU33" s="677"/>
      <c r="AV33" s="678"/>
    </row>
    <row r="34" spans="1:48" x14ac:dyDescent="0.25">
      <c r="A34" s="181" t="str">
        <f t="shared" si="33"/>
        <v>300kW, low lease</v>
      </c>
      <c r="B34" s="182" t="str">
        <f t="shared" si="26"/>
        <v>12p, low£</v>
      </c>
      <c r="C34" s="49" t="str">
        <f t="shared" si="34"/>
        <v>300kW, 
£500/acre</v>
      </c>
      <c r="D34" s="39" t="str">
        <f t="shared" si="26"/>
        <v>12p/kWh, high capex</v>
      </c>
      <c r="E34" s="59">
        <f>'Cash Flow Model'!D75</f>
        <v>0.10829478519945224</v>
      </c>
      <c r="F34" s="59"/>
      <c r="G34" s="59"/>
      <c r="H34" s="84">
        <f>ROUND('Cash Flow Model'!D91,-2)</f>
        <v>12600</v>
      </c>
      <c r="I34" s="84">
        <f>'Cash Flow Model'!D106</f>
        <v>6000</v>
      </c>
      <c r="J34" s="98">
        <f>'Cash Flow Model'!D121</f>
        <v>3.0000000000000016E-2</v>
      </c>
      <c r="K34" s="84">
        <f>'Cash Flow Model'!D168</f>
        <v>842.32500000000005</v>
      </c>
      <c r="L34" s="109">
        <f>'Cash Flow Model'!D138</f>
        <v>25334.440559999995</v>
      </c>
      <c r="M34" s="116">
        <f>'Cash Flow Model'!D153</f>
        <v>206.77799999999999</v>
      </c>
      <c r="N34" s="109">
        <f>ROUND(($M34*'Global assumptions'!D20*10)-$L34,-2)</f>
        <v>3700</v>
      </c>
      <c r="O34" s="118"/>
      <c r="P34" s="13" t="str">
        <f t="shared" si="27"/>
        <v>300kW, low lease. 10p, high£</v>
      </c>
      <c r="Q34" s="172">
        <f t="shared" si="28"/>
        <v>7800</v>
      </c>
      <c r="R34" s="172">
        <f t="shared" si="29"/>
        <v>6000</v>
      </c>
      <c r="S34" s="173">
        <f t="shared" si="30"/>
        <v>7900</v>
      </c>
      <c r="T34" s="186">
        <f t="shared" si="31"/>
        <v>800</v>
      </c>
      <c r="U34" s="188">
        <f t="shared" si="32"/>
        <v>8.4922732983285121E-2</v>
      </c>
      <c r="W34" s="84">
        <f>'Cash Flow Model'!D183</f>
        <v>214900</v>
      </c>
      <c r="X34" s="84">
        <f>'Cash Flow Model'!D198</f>
        <v>214300</v>
      </c>
      <c r="Y34" s="665"/>
      <c r="Z34" s="686" t="str">
        <f t="shared" si="8"/>
        <v>12p, low£</v>
      </c>
      <c r="AA34" s="13"/>
      <c r="AB34" s="6"/>
      <c r="AC34" s="668">
        <f t="shared" si="24"/>
        <v>214900</v>
      </c>
      <c r="AD34" s="677"/>
      <c r="AE34" s="677"/>
      <c r="AF34" s="677"/>
      <c r="AG34" s="677"/>
      <c r="AH34" s="677"/>
      <c r="AI34" s="677"/>
      <c r="AJ34" s="678"/>
      <c r="AL34" s="683" t="str">
        <f t="shared" si="10"/>
        <v>12p, low£</v>
      </c>
      <c r="AM34" s="679"/>
      <c r="AN34" s="677"/>
      <c r="AO34" s="668">
        <f t="shared" si="25"/>
        <v>214300</v>
      </c>
      <c r="AP34" s="677"/>
      <c r="AQ34" s="677"/>
      <c r="AR34" s="677"/>
      <c r="AS34" s="677"/>
      <c r="AT34" s="677"/>
      <c r="AU34" s="677"/>
      <c r="AV34" s="678"/>
    </row>
    <row r="35" spans="1:48" x14ac:dyDescent="0.25">
      <c r="A35" s="181" t="str">
        <f t="shared" si="33"/>
        <v>300kW, low lease</v>
      </c>
      <c r="B35" s="182" t="str">
        <f t="shared" si="26"/>
        <v>9p, mid£, grid+</v>
      </c>
      <c r="C35" s="49" t="str">
        <f t="shared" si="34"/>
        <v>300kW, 
£500/acre</v>
      </c>
      <c r="D35" s="39" t="str">
        <f t="shared" si="26"/>
        <v>9p/kWh, mid capex, high grid</v>
      </c>
      <c r="E35" s="59">
        <f>'Cash Flow Model'!D76</f>
        <v>7.9907833657751004E-2</v>
      </c>
      <c r="F35" s="59"/>
      <c r="G35" s="59"/>
      <c r="H35" s="84">
        <f>ROUND('Cash Flow Model'!D92,-2)</f>
        <v>6100</v>
      </c>
      <c r="I35" s="84">
        <f>'Cash Flow Model'!D107</f>
        <v>6000</v>
      </c>
      <c r="J35" s="98">
        <f>'Cash Flow Model'!D122</f>
        <v>3.0000000000000016E-2</v>
      </c>
      <c r="K35" s="84">
        <f>'Cash Flow Model'!D169</f>
        <v>842.32500000000005</v>
      </c>
      <c r="L35" s="109">
        <f>'Cash Flow Model'!D139</f>
        <v>19000.830419999998</v>
      </c>
      <c r="M35" s="116">
        <f>'Cash Flow Model'!D154</f>
        <v>206.77799999999999</v>
      </c>
      <c r="N35" s="109">
        <f>ROUND(($M35*'Global assumptions'!D20*10)-$L35,-2)</f>
        <v>10000</v>
      </c>
      <c r="O35" s="118"/>
      <c r="P35" s="13" t="str">
        <f t="shared" si="27"/>
        <v>300kW, low lease. 12p, low£</v>
      </c>
      <c r="Q35" s="172">
        <f t="shared" si="28"/>
        <v>16200</v>
      </c>
      <c r="R35" s="172">
        <f t="shared" si="29"/>
        <v>4900</v>
      </c>
      <c r="S35" s="173">
        <f t="shared" si="30"/>
        <v>3700</v>
      </c>
      <c r="T35" s="186">
        <f t="shared" si="31"/>
        <v>800</v>
      </c>
      <c r="U35" s="188">
        <f t="shared" si="32"/>
        <v>0.15140380627329386</v>
      </c>
      <c r="W35" s="84">
        <f>'Cash Flow Model'!D184</f>
        <v>115400</v>
      </c>
      <c r="X35" s="84">
        <f>'Cash Flow Model'!D199</f>
        <v>115200</v>
      </c>
      <c r="Y35" s="665"/>
      <c r="Z35" s="686" t="str">
        <f t="shared" si="8"/>
        <v>9p, mid£, grid+</v>
      </c>
      <c r="AA35" s="13"/>
      <c r="AB35" s="6"/>
      <c r="AC35" s="668">
        <f t="shared" si="24"/>
        <v>115400</v>
      </c>
      <c r="AD35" s="677"/>
      <c r="AE35" s="677"/>
      <c r="AF35" s="677"/>
      <c r="AG35" s="677"/>
      <c r="AH35" s="677"/>
      <c r="AI35" s="677"/>
      <c r="AJ35" s="678"/>
      <c r="AL35" s="683" t="str">
        <f t="shared" si="10"/>
        <v>9p, mid£, grid+</v>
      </c>
      <c r="AM35" s="679"/>
      <c r="AN35" s="677"/>
      <c r="AO35" s="668">
        <f t="shared" si="25"/>
        <v>115200</v>
      </c>
      <c r="AP35" s="677"/>
      <c r="AQ35" s="677"/>
      <c r="AR35" s="677"/>
      <c r="AS35" s="677"/>
      <c r="AT35" s="677"/>
      <c r="AU35" s="677"/>
      <c r="AV35" s="678"/>
    </row>
    <row r="36" spans="1:48" x14ac:dyDescent="0.25">
      <c r="A36" s="181" t="str">
        <f t="shared" si="33"/>
        <v>300kW, low lease</v>
      </c>
      <c r="B36" s="182" t="str">
        <f t="shared" si="26"/>
        <v>9p, high£, grid+</v>
      </c>
      <c r="C36" s="49" t="str">
        <f t="shared" si="34"/>
        <v>300kW, 
£500/acre</v>
      </c>
      <c r="D36" s="39" t="str">
        <f t="shared" si="26"/>
        <v>9p/kWh, high capex, high grid</v>
      </c>
      <c r="E36" s="59">
        <f>'Cash Flow Model'!D77</f>
        <v>6.3452205917385207E-2</v>
      </c>
      <c r="F36" s="59"/>
      <c r="G36" s="59"/>
      <c r="H36" s="84">
        <f>ROUND('Cash Flow Model'!D93,-2)</f>
        <v>4600</v>
      </c>
      <c r="I36" s="84">
        <f>'Cash Flow Model'!D108</f>
        <v>5026.9667399170339</v>
      </c>
      <c r="J36" s="98">
        <f>'Cash Flow Model'!D123</f>
        <v>2.8549466749414457E-2</v>
      </c>
      <c r="K36" s="84">
        <f>'Cash Flow Model'!D170</f>
        <v>842.32500000000005</v>
      </c>
      <c r="L36" s="109">
        <f>'Cash Flow Model'!D140</f>
        <v>19000.830419999998</v>
      </c>
      <c r="M36" s="116">
        <f>'Cash Flow Model'!D155</f>
        <v>206.77799999999999</v>
      </c>
      <c r="N36" s="109">
        <f>ROUND(($M36*'Global assumptions'!D20*10)-$L36,-2)</f>
        <v>10000</v>
      </c>
      <c r="O36" s="118"/>
      <c r="P36" s="13" t="str">
        <f t="shared" si="27"/>
        <v>300kW, low lease. 12p, low£</v>
      </c>
      <c r="Q36" s="172">
        <f t="shared" si="28"/>
        <v>12600</v>
      </c>
      <c r="R36" s="172">
        <f t="shared" si="29"/>
        <v>6000</v>
      </c>
      <c r="S36" s="173">
        <f t="shared" si="30"/>
        <v>3700</v>
      </c>
      <c r="T36" s="186">
        <f t="shared" si="31"/>
        <v>800</v>
      </c>
      <c r="U36" s="188">
        <f t="shared" si="32"/>
        <v>0.10829478519945224</v>
      </c>
      <c r="W36" s="84">
        <f>'Cash Flow Model'!D185</f>
        <v>82000</v>
      </c>
      <c r="X36" s="84">
        <f>'Cash Flow Model'!D200</f>
        <v>80900</v>
      </c>
      <c r="Y36" s="665"/>
      <c r="Z36" s="686" t="str">
        <f t="shared" si="8"/>
        <v>9p, high£, grid+</v>
      </c>
      <c r="AA36" s="13"/>
      <c r="AB36" s="6"/>
      <c r="AC36" s="668">
        <f t="shared" si="24"/>
        <v>82000</v>
      </c>
      <c r="AD36" s="677"/>
      <c r="AE36" s="677"/>
      <c r="AF36" s="677"/>
      <c r="AG36" s="677"/>
      <c r="AH36" s="677"/>
      <c r="AI36" s="677"/>
      <c r="AJ36" s="678"/>
      <c r="AL36" s="683" t="str">
        <f t="shared" si="10"/>
        <v>9p, high£, grid+</v>
      </c>
      <c r="AM36" s="679"/>
      <c r="AN36" s="677"/>
      <c r="AO36" s="668">
        <f t="shared" si="25"/>
        <v>80900</v>
      </c>
      <c r="AP36" s="677"/>
      <c r="AQ36" s="677"/>
      <c r="AR36" s="677"/>
      <c r="AS36" s="677"/>
      <c r="AT36" s="677"/>
      <c r="AU36" s="677"/>
      <c r="AV36" s="678"/>
    </row>
    <row r="37" spans="1:48" x14ac:dyDescent="0.25">
      <c r="A37" s="181" t="str">
        <f t="shared" si="33"/>
        <v>300kW, low lease</v>
      </c>
      <c r="B37" s="182" t="str">
        <f t="shared" si="26"/>
        <v>10p, mid£, grid+</v>
      </c>
      <c r="C37" s="49" t="str">
        <f t="shared" si="34"/>
        <v>300kW, 
£500/acre</v>
      </c>
      <c r="D37" s="39" t="str">
        <f t="shared" si="26"/>
        <v>10p/kWh, mid capex, high grid</v>
      </c>
      <c r="E37" s="59">
        <f>'Cash Flow Model'!D78</f>
        <v>9.2864982652564709E-2</v>
      </c>
      <c r="F37" s="59"/>
      <c r="G37" s="59"/>
      <c r="H37" s="84">
        <f>ROUND('Cash Flow Model'!D94,-2)</f>
        <v>8500</v>
      </c>
      <c r="I37" s="84">
        <f>'Cash Flow Model'!D109</f>
        <v>6000</v>
      </c>
      <c r="J37" s="98">
        <f>'Cash Flow Model'!D124</f>
        <v>3.0000000000000016E-2</v>
      </c>
      <c r="K37" s="84">
        <f>'Cash Flow Model'!D171</f>
        <v>842.32500000000005</v>
      </c>
      <c r="L37" s="109">
        <f>'Cash Flow Model'!D141</f>
        <v>21112.033799999997</v>
      </c>
      <c r="M37" s="116">
        <f>'Cash Flow Model'!D156</f>
        <v>206.77799999999999</v>
      </c>
      <c r="N37" s="109">
        <f>ROUND(($M37*'Global assumptions'!D20*10)-$L37,-2)</f>
        <v>7900</v>
      </c>
      <c r="O37" s="118"/>
      <c r="P37" s="13" t="str">
        <f t="shared" si="27"/>
        <v>300kW, low lease. 9p, mid£, grid+</v>
      </c>
      <c r="Q37" s="172">
        <f t="shared" si="28"/>
        <v>6100</v>
      </c>
      <c r="R37" s="172">
        <f t="shared" si="29"/>
        <v>6000</v>
      </c>
      <c r="S37" s="173">
        <f t="shared" si="30"/>
        <v>10000</v>
      </c>
      <c r="T37" s="186">
        <f t="shared" si="31"/>
        <v>800</v>
      </c>
      <c r="U37" s="188">
        <f t="shared" si="32"/>
        <v>7.9907833657751004E-2</v>
      </c>
      <c r="W37" s="84">
        <f>'Cash Flow Model'!D186</f>
        <v>153300</v>
      </c>
      <c r="X37" s="84">
        <f>'Cash Flow Model'!D201</f>
        <v>153100</v>
      </c>
      <c r="Y37" s="665"/>
      <c r="Z37" s="686" t="str">
        <f t="shared" si="8"/>
        <v>10p, mid£, grid+</v>
      </c>
      <c r="AA37" s="13"/>
      <c r="AB37" s="6"/>
      <c r="AC37" s="668">
        <f t="shared" si="24"/>
        <v>153300</v>
      </c>
      <c r="AD37" s="677"/>
      <c r="AE37" s="677"/>
      <c r="AF37" s="677"/>
      <c r="AG37" s="677"/>
      <c r="AH37" s="677"/>
      <c r="AI37" s="677"/>
      <c r="AJ37" s="678"/>
      <c r="AL37" s="683" t="str">
        <f t="shared" si="10"/>
        <v>10p, mid£, grid+</v>
      </c>
      <c r="AM37" s="679"/>
      <c r="AN37" s="677"/>
      <c r="AO37" s="668">
        <f t="shared" si="25"/>
        <v>153100</v>
      </c>
      <c r="AP37" s="677"/>
      <c r="AQ37" s="677"/>
      <c r="AR37" s="677"/>
      <c r="AS37" s="677"/>
      <c r="AT37" s="677"/>
      <c r="AU37" s="677"/>
      <c r="AV37" s="678"/>
    </row>
    <row r="38" spans="1:48" x14ac:dyDescent="0.25">
      <c r="A38" s="181" t="str">
        <f t="shared" si="33"/>
        <v>300kW, low lease</v>
      </c>
      <c r="B38" s="182" t="str">
        <f t="shared" si="26"/>
        <v>10p, high£, grid+</v>
      </c>
      <c r="C38" s="49" t="str">
        <f t="shared" si="34"/>
        <v>300kW, 
£500/acre</v>
      </c>
      <c r="D38" s="39" t="str">
        <f t="shared" si="26"/>
        <v>10p/kWh, high capex, high grid</v>
      </c>
      <c r="E38" s="59">
        <f>'Cash Flow Model'!D79</f>
        <v>7.5323387025580946E-2</v>
      </c>
      <c r="F38" s="59"/>
      <c r="G38" s="59"/>
      <c r="H38" s="84">
        <f>ROUND('Cash Flow Model'!D95,-2)</f>
        <v>6800</v>
      </c>
      <c r="I38" s="84">
        <f>'Cash Flow Model'!D110</f>
        <v>6000</v>
      </c>
      <c r="J38" s="98">
        <f>'Cash Flow Model'!D125</f>
        <v>3.0000000000000016E-2</v>
      </c>
      <c r="K38" s="84">
        <f>'Cash Flow Model'!D172</f>
        <v>842.32500000000005</v>
      </c>
      <c r="L38" s="109">
        <f>'Cash Flow Model'!D142</f>
        <v>21112.033799999997</v>
      </c>
      <c r="M38" s="116">
        <f>'Cash Flow Model'!D157</f>
        <v>206.77799999999999</v>
      </c>
      <c r="N38" s="109">
        <f>ROUND(($M38*'Global assumptions'!D20*10)-$L38,-2)</f>
        <v>7900</v>
      </c>
      <c r="O38" s="118"/>
      <c r="P38" s="13" t="str">
        <f t="shared" si="27"/>
        <v>300kW, low lease. 9p, high£, grid+</v>
      </c>
      <c r="Q38" s="172">
        <f t="shared" si="28"/>
        <v>4600</v>
      </c>
      <c r="R38" s="172">
        <f t="shared" si="29"/>
        <v>5000</v>
      </c>
      <c r="S38" s="173">
        <f t="shared" si="30"/>
        <v>10000</v>
      </c>
      <c r="T38" s="186">
        <f t="shared" si="31"/>
        <v>800</v>
      </c>
      <c r="U38" s="188">
        <f t="shared" si="32"/>
        <v>6.3452205917385207E-2</v>
      </c>
      <c r="W38" s="84">
        <f>'Cash Flow Model'!D187</f>
        <v>119800</v>
      </c>
      <c r="X38" s="84">
        <f>'Cash Flow Model'!D202</f>
        <v>118800</v>
      </c>
      <c r="Y38" s="665"/>
      <c r="Z38" s="686" t="str">
        <f t="shared" si="8"/>
        <v>10p, high£, grid+</v>
      </c>
      <c r="AA38" s="13"/>
      <c r="AB38" s="6"/>
      <c r="AC38" s="668">
        <f t="shared" si="24"/>
        <v>119800</v>
      </c>
      <c r="AD38" s="677"/>
      <c r="AE38" s="677"/>
      <c r="AF38" s="677"/>
      <c r="AG38" s="677"/>
      <c r="AH38" s="677"/>
      <c r="AI38" s="677"/>
      <c r="AJ38" s="678"/>
      <c r="AL38" s="683" t="str">
        <f t="shared" si="10"/>
        <v>10p, high£, grid+</v>
      </c>
      <c r="AM38" s="679"/>
      <c r="AN38" s="677"/>
      <c r="AO38" s="668">
        <f t="shared" si="25"/>
        <v>118800</v>
      </c>
      <c r="AP38" s="677"/>
      <c r="AQ38" s="677"/>
      <c r="AR38" s="677"/>
      <c r="AS38" s="677"/>
      <c r="AT38" s="677"/>
      <c r="AU38" s="677"/>
      <c r="AV38" s="678"/>
    </row>
    <row r="39" spans="1:48" x14ac:dyDescent="0.25">
      <c r="A39" s="181" t="str">
        <f t="shared" si="33"/>
        <v>300kW, low lease</v>
      </c>
      <c r="B39" s="182" t="str">
        <f t="shared" si="26"/>
        <v>12p, mid£, grid+</v>
      </c>
      <c r="C39" s="49" t="str">
        <f t="shared" si="34"/>
        <v>300kW, 
£500/acre</v>
      </c>
      <c r="D39" s="39" t="str">
        <f t="shared" si="26"/>
        <v>12p/kWh, mid capex, high grid</v>
      </c>
      <c r="E39" s="59">
        <f>'Cash Flow Model'!D80</f>
        <v>0.11726810876737503</v>
      </c>
      <c r="F39" s="59"/>
      <c r="G39" s="59"/>
      <c r="H39" s="84">
        <f>ROUND('Cash Flow Model'!D96,-2)</f>
        <v>13400</v>
      </c>
      <c r="I39" s="84">
        <f>'Cash Flow Model'!D111</f>
        <v>6000</v>
      </c>
      <c r="J39" s="98">
        <f>'Cash Flow Model'!D126</f>
        <v>3.0000000000000016E-2</v>
      </c>
      <c r="K39" s="84">
        <f>'Cash Flow Model'!D173</f>
        <v>842.32500000000005</v>
      </c>
      <c r="L39" s="109">
        <f>'Cash Flow Model'!D143</f>
        <v>25334.440559999995</v>
      </c>
      <c r="M39" s="116">
        <f>'Cash Flow Model'!D158</f>
        <v>206.77799999999999</v>
      </c>
      <c r="N39" s="109">
        <f>ROUND(($M39*'Global assumptions'!D20*10)-$L39,-2)</f>
        <v>3700</v>
      </c>
      <c r="O39" s="118"/>
      <c r="P39" s="13" t="str">
        <f t="shared" si="27"/>
        <v>300kW, low lease. 10p, mid£, grid+</v>
      </c>
      <c r="Q39" s="172">
        <f t="shared" si="28"/>
        <v>8500</v>
      </c>
      <c r="R39" s="172">
        <f t="shared" si="29"/>
        <v>6000</v>
      </c>
      <c r="S39" s="173">
        <f t="shared" si="30"/>
        <v>7900</v>
      </c>
      <c r="T39" s="186">
        <f t="shared" si="31"/>
        <v>800</v>
      </c>
      <c r="U39" s="188">
        <f t="shared" si="32"/>
        <v>9.2864982652564709E-2</v>
      </c>
      <c r="W39" s="84">
        <f>'Cash Flow Model'!D188</f>
        <v>229000</v>
      </c>
      <c r="X39" s="84">
        <f>'Cash Flow Model'!D203</f>
        <v>228800</v>
      </c>
      <c r="Y39" s="665"/>
      <c r="Z39" s="686" t="str">
        <f t="shared" si="8"/>
        <v>12p, mid£, grid+</v>
      </c>
      <c r="AA39" s="13"/>
      <c r="AB39" s="6"/>
      <c r="AC39" s="668">
        <f t="shared" si="24"/>
        <v>229000</v>
      </c>
      <c r="AD39" s="677"/>
      <c r="AE39" s="677"/>
      <c r="AF39" s="677"/>
      <c r="AG39" s="677"/>
      <c r="AH39" s="677"/>
      <c r="AI39" s="677"/>
      <c r="AJ39" s="678"/>
      <c r="AL39" s="683" t="str">
        <f t="shared" si="10"/>
        <v>12p, mid£, grid+</v>
      </c>
      <c r="AM39" s="679"/>
      <c r="AN39" s="677"/>
      <c r="AO39" s="668">
        <f t="shared" si="25"/>
        <v>228800</v>
      </c>
      <c r="AP39" s="677"/>
      <c r="AQ39" s="677"/>
      <c r="AR39" s="677"/>
      <c r="AS39" s="677"/>
      <c r="AT39" s="677"/>
      <c r="AU39" s="677"/>
      <c r="AV39" s="678"/>
    </row>
    <row r="40" spans="1:48" x14ac:dyDescent="0.25">
      <c r="A40" s="181" t="str">
        <f t="shared" si="33"/>
        <v>300kW, low lease</v>
      </c>
      <c r="B40" s="182" t="str">
        <f t="shared" si="26"/>
        <v>12p, high£, grid+</v>
      </c>
      <c r="C40" s="49" t="str">
        <f t="shared" si="34"/>
        <v>300kW, 
£500/acre</v>
      </c>
      <c r="D40" s="39" t="str">
        <f t="shared" si="26"/>
        <v>12p/kWh, high capex, high grid</v>
      </c>
      <c r="E40" s="59">
        <f>'Cash Flow Model'!D81</f>
        <v>9.7502928617341889E-2</v>
      </c>
      <c r="F40" s="59"/>
      <c r="G40" s="59"/>
      <c r="H40" s="84">
        <f>ROUND('Cash Flow Model'!D97,-2)</f>
        <v>11700</v>
      </c>
      <c r="I40" s="84">
        <f>'Cash Flow Model'!D112</f>
        <v>6000</v>
      </c>
      <c r="J40" s="98">
        <f>'Cash Flow Model'!D127</f>
        <v>3.0000000000000016E-2</v>
      </c>
      <c r="K40" s="84">
        <f>'Cash Flow Model'!D174</f>
        <v>842.32500000000005</v>
      </c>
      <c r="L40" s="110">
        <f>'Cash Flow Model'!D144</f>
        <v>25334.440559999995</v>
      </c>
      <c r="M40" s="117">
        <f>'Cash Flow Model'!D159</f>
        <v>206.77799999999999</v>
      </c>
      <c r="N40" s="110">
        <f>ROUND(($M40*'Global assumptions'!D20*10)-$L40,-2)</f>
        <v>3700</v>
      </c>
      <c r="O40" s="118"/>
      <c r="P40" s="13" t="str">
        <f t="shared" si="27"/>
        <v>300kW, low lease. 10p, high£, grid+</v>
      </c>
      <c r="Q40" s="172">
        <f t="shared" si="28"/>
        <v>6800</v>
      </c>
      <c r="R40" s="172">
        <f t="shared" si="29"/>
        <v>6000</v>
      </c>
      <c r="S40" s="173">
        <f t="shared" si="30"/>
        <v>7900</v>
      </c>
      <c r="T40" s="186">
        <f t="shared" si="31"/>
        <v>800</v>
      </c>
      <c r="U40" s="188">
        <f t="shared" si="32"/>
        <v>7.5323387025580946E-2</v>
      </c>
      <c r="W40" s="84">
        <f>'Cash Flow Model'!D189</f>
        <v>195500</v>
      </c>
      <c r="X40" s="84">
        <f>'Cash Flow Model'!D204</f>
        <v>194500</v>
      </c>
      <c r="Y40" s="665"/>
      <c r="Z40" s="686" t="str">
        <f t="shared" si="8"/>
        <v>12p, high£, grid+</v>
      </c>
      <c r="AA40" s="13"/>
      <c r="AB40" s="6"/>
      <c r="AC40" s="668">
        <f t="shared" si="24"/>
        <v>195500</v>
      </c>
      <c r="AD40" s="677"/>
      <c r="AE40" s="677"/>
      <c r="AF40" s="677"/>
      <c r="AG40" s="677"/>
      <c r="AH40" s="677"/>
      <c r="AI40" s="677"/>
      <c r="AJ40" s="678"/>
      <c r="AL40" s="683" t="str">
        <f t="shared" si="10"/>
        <v>12p, high£, grid+</v>
      </c>
      <c r="AM40" s="679"/>
      <c r="AN40" s="677"/>
      <c r="AO40" s="668">
        <f t="shared" si="25"/>
        <v>194500</v>
      </c>
      <c r="AP40" s="677"/>
      <c r="AQ40" s="677"/>
      <c r="AR40" s="677"/>
      <c r="AS40" s="677"/>
      <c r="AT40" s="677"/>
      <c r="AU40" s="677"/>
      <c r="AV40" s="678"/>
    </row>
    <row r="41" spans="1:48" x14ac:dyDescent="0.25">
      <c r="A41" s="179" t="str">
        <f>'Costs (by site)'!H4</f>
        <v>300kW, high lease</v>
      </c>
      <c r="B41" s="180" t="str">
        <f t="shared" si="26"/>
        <v>9p, low£</v>
      </c>
      <c r="C41" s="48" t="str">
        <f>'Costs (by site)'!H3</f>
        <v>300kW, 
£1000/acre</v>
      </c>
      <c r="D41" s="51" t="str">
        <f t="shared" si="26"/>
        <v>9p/kWh, favourable  capex</v>
      </c>
      <c r="E41" s="60">
        <f>'Cash Flow Model'!E70</f>
        <v>0.10107138064548304</v>
      </c>
      <c r="F41" s="60"/>
      <c r="G41" s="60"/>
      <c r="H41" s="83">
        <f>ROUND('Cash Flow Model'!E86,-2)</f>
        <v>7800</v>
      </c>
      <c r="I41" s="83">
        <f>'Cash Flow Model'!E101</f>
        <v>4939.95</v>
      </c>
      <c r="J41" s="97">
        <f>'Cash Flow Model'!E116</f>
        <v>3.0000000000000016E-2</v>
      </c>
      <c r="K41" s="83">
        <f>'Cash Flow Model'!E163</f>
        <v>1684.65</v>
      </c>
      <c r="L41" s="103">
        <f>'Cash Flow Model'!E133</f>
        <v>19000.830419999998</v>
      </c>
      <c r="M41" s="115">
        <f>'Cash Flow Model'!E148</f>
        <v>206.77799999999999</v>
      </c>
      <c r="N41" s="103">
        <f>ROUND(($M41*'Global assumptions'!D20*10)-$L41,-2)</f>
        <v>10000</v>
      </c>
      <c r="O41" s="118"/>
      <c r="P41" s="13" t="str">
        <f t="shared" si="27"/>
        <v>300kW, low lease. 12p, mid£, grid+</v>
      </c>
      <c r="Q41" s="172">
        <f t="shared" si="28"/>
        <v>13400</v>
      </c>
      <c r="R41" s="172">
        <f t="shared" si="29"/>
        <v>6000</v>
      </c>
      <c r="S41" s="173">
        <f t="shared" si="30"/>
        <v>3700</v>
      </c>
      <c r="T41" s="186">
        <f t="shared" si="31"/>
        <v>800</v>
      </c>
      <c r="U41" s="188">
        <f t="shared" si="32"/>
        <v>0.11726810876737503</v>
      </c>
      <c r="W41" s="83">
        <f>'Cash Flow Model'!E178</f>
        <v>140300</v>
      </c>
      <c r="X41" s="83">
        <f>'Cash Flow Model'!E193</f>
        <v>140300</v>
      </c>
      <c r="Y41" s="665"/>
      <c r="Z41" s="686" t="str">
        <f t="shared" si="8"/>
        <v>9p, low£</v>
      </c>
      <c r="AA41" s="13"/>
      <c r="AB41" s="6"/>
      <c r="AC41" s="677"/>
      <c r="AD41" s="667">
        <f t="shared" ref="AD41:AD52" si="35">W41</f>
        <v>140300</v>
      </c>
      <c r="AE41" s="677"/>
      <c r="AF41" s="677"/>
      <c r="AG41" s="677"/>
      <c r="AH41" s="677"/>
      <c r="AI41" s="677"/>
      <c r="AJ41" s="678"/>
      <c r="AL41" s="683" t="str">
        <f t="shared" si="10"/>
        <v>9p, low£</v>
      </c>
      <c r="AM41" s="679"/>
      <c r="AN41" s="677"/>
      <c r="AO41" s="677"/>
      <c r="AP41" s="667">
        <f t="shared" ref="AP41:AP52" si="36">X41</f>
        <v>140300</v>
      </c>
      <c r="AQ41" s="677"/>
      <c r="AR41" s="677"/>
      <c r="AS41" s="677"/>
      <c r="AT41" s="677"/>
      <c r="AU41" s="677"/>
      <c r="AV41" s="678"/>
    </row>
    <row r="42" spans="1:48" x14ac:dyDescent="0.25">
      <c r="A42" s="181" t="str">
        <f>A41</f>
        <v>300kW, high lease</v>
      </c>
      <c r="B42" s="182" t="str">
        <f t="shared" si="26"/>
        <v>9p, low£</v>
      </c>
      <c r="C42" s="49" t="str">
        <f>C41</f>
        <v>300kW, 
£1000/acre</v>
      </c>
      <c r="D42" s="39" t="str">
        <f t="shared" si="26"/>
        <v>9p/kWh, high capex</v>
      </c>
      <c r="E42" s="59">
        <f>'Cash Flow Model'!E71</f>
        <v>6.6804018899395468E-2</v>
      </c>
      <c r="F42" s="59"/>
      <c r="G42" s="59"/>
      <c r="H42" s="84">
        <f>ROUND('Cash Flow Model'!E87,-2)</f>
        <v>4300</v>
      </c>
      <c r="I42" s="84">
        <f>'Cash Flow Model'!E102</f>
        <v>6000</v>
      </c>
      <c r="J42" s="98">
        <f>'Cash Flow Model'!E117</f>
        <v>3.0000000000000016E-2</v>
      </c>
      <c r="K42" s="84">
        <f>'Cash Flow Model'!E164</f>
        <v>1684.65</v>
      </c>
      <c r="L42" s="109">
        <f>'Cash Flow Model'!E134</f>
        <v>19000.830419999998</v>
      </c>
      <c r="M42" s="116">
        <f>'Cash Flow Model'!E149</f>
        <v>206.77799999999999</v>
      </c>
      <c r="N42" s="109">
        <f>ROUND(($M42*'Global assumptions'!D20*10)-$L42,-2)</f>
        <v>10000</v>
      </c>
      <c r="O42" s="118"/>
      <c r="P42" s="19" t="str">
        <f t="shared" si="27"/>
        <v>300kW, low lease. 12p, high£, grid+</v>
      </c>
      <c r="Q42" s="174">
        <f t="shared" si="28"/>
        <v>11700</v>
      </c>
      <c r="R42" s="174">
        <f t="shared" si="29"/>
        <v>6000</v>
      </c>
      <c r="S42" s="175">
        <f t="shared" si="30"/>
        <v>3700</v>
      </c>
      <c r="T42" s="187">
        <f t="shared" si="31"/>
        <v>800</v>
      </c>
      <c r="U42" s="188">
        <f t="shared" si="32"/>
        <v>9.7502928617341889E-2</v>
      </c>
      <c r="W42" s="84">
        <f>'Cash Flow Model'!E179</f>
        <v>84500</v>
      </c>
      <c r="X42" s="84">
        <f>'Cash Flow Model'!E194</f>
        <v>84000</v>
      </c>
      <c r="Y42" s="665"/>
      <c r="Z42" s="686" t="str">
        <f t="shared" si="8"/>
        <v>9p, low£</v>
      </c>
      <c r="AA42" s="13"/>
      <c r="AB42" s="6"/>
      <c r="AC42" s="677"/>
      <c r="AD42" s="668">
        <f t="shared" si="35"/>
        <v>84500</v>
      </c>
      <c r="AE42" s="677"/>
      <c r="AF42" s="677"/>
      <c r="AG42" s="677"/>
      <c r="AH42" s="677"/>
      <c r="AI42" s="677"/>
      <c r="AJ42" s="678"/>
      <c r="AL42" s="683" t="str">
        <f t="shared" si="10"/>
        <v>9p, low£</v>
      </c>
      <c r="AM42" s="679"/>
      <c r="AN42" s="677"/>
      <c r="AO42" s="677"/>
      <c r="AP42" s="668">
        <f t="shared" si="36"/>
        <v>84000</v>
      </c>
      <c r="AQ42" s="677"/>
      <c r="AR42" s="677"/>
      <c r="AS42" s="677"/>
      <c r="AT42" s="677"/>
      <c r="AU42" s="677"/>
      <c r="AV42" s="678"/>
    </row>
    <row r="43" spans="1:48" x14ac:dyDescent="0.25">
      <c r="A43" s="181" t="str">
        <f>A41</f>
        <v>300kW, high lease</v>
      </c>
      <c r="B43" s="182" t="str">
        <f t="shared" si="26"/>
        <v>10p, low£</v>
      </c>
      <c r="C43" s="49" t="str">
        <f>C41</f>
        <v>300kW, 
£1000/acre</v>
      </c>
      <c r="D43" s="39" t="str">
        <f t="shared" si="26"/>
        <v>10p/kWh, favourable  capex</v>
      </c>
      <c r="E43" s="59">
        <f>'Cash Flow Model'!E72</f>
        <v>0.11637277941678392</v>
      </c>
      <c r="F43" s="59"/>
      <c r="G43" s="59"/>
      <c r="H43" s="84">
        <f>ROUND('Cash Flow Model'!E88,-2)</f>
        <v>10200</v>
      </c>
      <c r="I43" s="84">
        <f>'Cash Flow Model'!E103</f>
        <v>4939.95</v>
      </c>
      <c r="J43" s="98">
        <f>'Cash Flow Model'!E118</f>
        <v>3.0000000000000016E-2</v>
      </c>
      <c r="K43" s="84">
        <f>'Cash Flow Model'!E165</f>
        <v>1684.65</v>
      </c>
      <c r="L43" s="109">
        <f>'Cash Flow Model'!E135</f>
        <v>21112.033799999997</v>
      </c>
      <c r="M43" s="116">
        <f>'Cash Flow Model'!E150</f>
        <v>206.77799999999999</v>
      </c>
      <c r="N43" s="109">
        <f>ROUND(($M43*'Global assumptions'!D20*10)-$L43,-2)</f>
        <v>7900</v>
      </c>
      <c r="O43" s="118"/>
      <c r="P43" s="13"/>
      <c r="Q43" s="172"/>
      <c r="R43" s="172"/>
      <c r="S43" s="173"/>
      <c r="T43" s="186"/>
      <c r="U43" s="188"/>
      <c r="W43" s="84">
        <f>'Cash Flow Model'!E180</f>
        <v>178100</v>
      </c>
      <c r="X43" s="84">
        <f>'Cash Flow Model'!E195</f>
        <v>178100</v>
      </c>
      <c r="Y43" s="665"/>
      <c r="Z43" s="686" t="str">
        <f t="shared" si="8"/>
        <v>10p, low£</v>
      </c>
      <c r="AA43" s="13"/>
      <c r="AB43" s="6"/>
      <c r="AC43" s="677"/>
      <c r="AD43" s="668">
        <f t="shared" si="35"/>
        <v>178100</v>
      </c>
      <c r="AE43" s="677"/>
      <c r="AF43" s="677"/>
      <c r="AG43" s="677"/>
      <c r="AH43" s="677"/>
      <c r="AI43" s="677"/>
      <c r="AJ43" s="678"/>
      <c r="AL43" s="683" t="str">
        <f t="shared" si="10"/>
        <v>10p, low£</v>
      </c>
      <c r="AM43" s="679"/>
      <c r="AN43" s="677"/>
      <c r="AO43" s="677"/>
      <c r="AP43" s="668">
        <f t="shared" si="36"/>
        <v>178100</v>
      </c>
      <c r="AQ43" s="677"/>
      <c r="AR43" s="677"/>
      <c r="AS43" s="677"/>
      <c r="AT43" s="677"/>
      <c r="AU43" s="677"/>
      <c r="AV43" s="678"/>
    </row>
    <row r="44" spans="1:48" x14ac:dyDescent="0.25">
      <c r="A44" s="181" t="str">
        <f t="shared" ref="A44:A52" si="37">A43</f>
        <v>300kW, high lease</v>
      </c>
      <c r="B44" s="182" t="str">
        <f t="shared" si="26"/>
        <v>10p, high£</v>
      </c>
      <c r="C44" s="49" t="str">
        <f t="shared" ref="C44:C52" si="38">C43</f>
        <v>300kW, 
£1000/acre</v>
      </c>
      <c r="D44" s="39" t="str">
        <f t="shared" si="26"/>
        <v>10p/kWh, high capex</v>
      </c>
      <c r="E44" s="59">
        <f>'Cash Flow Model'!E73</f>
        <v>7.9569326882912073E-2</v>
      </c>
      <c r="F44" s="59"/>
      <c r="G44" s="59"/>
      <c r="H44" s="84">
        <f>ROUND('Cash Flow Model'!E89,-2)</f>
        <v>6700</v>
      </c>
      <c r="I44" s="84">
        <f>'Cash Flow Model'!E104</f>
        <v>6000</v>
      </c>
      <c r="J44" s="98">
        <f>'Cash Flow Model'!E119</f>
        <v>3.0000000000000016E-2</v>
      </c>
      <c r="K44" s="84">
        <f>'Cash Flow Model'!E166</f>
        <v>1684.65</v>
      </c>
      <c r="L44" s="109">
        <f>'Cash Flow Model'!E136</f>
        <v>21112.033799999997</v>
      </c>
      <c r="M44" s="116">
        <f>'Cash Flow Model'!E151</f>
        <v>206.77799999999999</v>
      </c>
      <c r="N44" s="109">
        <f>ROUND(($M44*'Global assumptions'!D20*10)-$L44,-2)</f>
        <v>7900</v>
      </c>
      <c r="O44" s="118"/>
      <c r="P44" s="17" t="str">
        <f t="shared" ref="P44:P55" si="39">A41&amp;". "&amp;B41</f>
        <v>300kW, high lease. 9p, low£</v>
      </c>
      <c r="Q44" s="170">
        <f t="shared" ref="Q44:Q55" si="40">ROUND(H41,-2)</f>
        <v>7800</v>
      </c>
      <c r="R44" s="170">
        <f t="shared" ref="R44:R55" si="41">ROUND(I41,-2)</f>
        <v>4900</v>
      </c>
      <c r="S44" s="171">
        <f t="shared" ref="S44:S55" si="42">N41</f>
        <v>10000</v>
      </c>
      <c r="T44" s="185">
        <f t="shared" ref="T44:T55" si="43">ROUND(K41,-2)</f>
        <v>1700</v>
      </c>
      <c r="U44" s="188">
        <f t="shared" ref="U44:U55" si="44">E41</f>
        <v>0.10107138064548304</v>
      </c>
      <c r="W44" s="84">
        <f>'Cash Flow Model'!E181</f>
        <v>122400</v>
      </c>
      <c r="X44" s="84">
        <f>'Cash Flow Model'!E196</f>
        <v>121800</v>
      </c>
      <c r="Y44" s="665"/>
      <c r="Z44" s="686" t="str">
        <f t="shared" si="8"/>
        <v>10p, high£</v>
      </c>
      <c r="AA44" s="13"/>
      <c r="AB44" s="6"/>
      <c r="AC44" s="677"/>
      <c r="AD44" s="668">
        <f t="shared" si="35"/>
        <v>122400</v>
      </c>
      <c r="AE44" s="677"/>
      <c r="AF44" s="677"/>
      <c r="AG44" s="677"/>
      <c r="AH44" s="677"/>
      <c r="AI44" s="677"/>
      <c r="AJ44" s="678"/>
      <c r="AL44" s="683" t="str">
        <f t="shared" si="10"/>
        <v>10p, high£</v>
      </c>
      <c r="AM44" s="679"/>
      <c r="AN44" s="677"/>
      <c r="AO44" s="677"/>
      <c r="AP44" s="668">
        <f t="shared" si="36"/>
        <v>121800</v>
      </c>
      <c r="AQ44" s="677"/>
      <c r="AR44" s="677"/>
      <c r="AS44" s="677"/>
      <c r="AT44" s="677"/>
      <c r="AU44" s="677"/>
      <c r="AV44" s="678"/>
    </row>
    <row r="45" spans="1:48" x14ac:dyDescent="0.25">
      <c r="A45" s="181" t="str">
        <f t="shared" si="37"/>
        <v>300kW, high lease</v>
      </c>
      <c r="B45" s="182" t="str">
        <f t="shared" si="26"/>
        <v>12p, low£</v>
      </c>
      <c r="C45" s="49" t="str">
        <f t="shared" si="38"/>
        <v>300kW, 
£1000/acre</v>
      </c>
      <c r="D45" s="39" t="str">
        <f t="shared" si="26"/>
        <v>12p/kWh, favourable  capex</v>
      </c>
      <c r="E45" s="59">
        <f>'Cash Flow Model'!E74</f>
        <v>0.14540336331951909</v>
      </c>
      <c r="F45" s="59"/>
      <c r="G45" s="59"/>
      <c r="H45" s="84">
        <f>ROUND('Cash Flow Model'!E90,-2)</f>
        <v>15100</v>
      </c>
      <c r="I45" s="84">
        <f>'Cash Flow Model'!E105</f>
        <v>4939.95</v>
      </c>
      <c r="J45" s="98">
        <f>'Cash Flow Model'!E120</f>
        <v>3.0000000000000016E-2</v>
      </c>
      <c r="K45" s="84">
        <f>'Cash Flow Model'!E167</f>
        <v>1684.65</v>
      </c>
      <c r="L45" s="109">
        <f>'Cash Flow Model'!E137</f>
        <v>25334.440559999995</v>
      </c>
      <c r="M45" s="116">
        <f>'Cash Flow Model'!E152</f>
        <v>206.77799999999999</v>
      </c>
      <c r="N45" s="109">
        <f>ROUND(($M45*'Global assumptions'!D20*10)-$L45,-2)</f>
        <v>3700</v>
      </c>
      <c r="O45" s="118"/>
      <c r="P45" s="13" t="str">
        <f t="shared" si="39"/>
        <v>300kW, high lease. 9p, low£</v>
      </c>
      <c r="Q45" s="172">
        <f t="shared" si="40"/>
        <v>4300</v>
      </c>
      <c r="R45" s="172">
        <f t="shared" si="41"/>
        <v>6000</v>
      </c>
      <c r="S45" s="173">
        <f t="shared" si="42"/>
        <v>10000</v>
      </c>
      <c r="T45" s="186">
        <f t="shared" si="43"/>
        <v>1700</v>
      </c>
      <c r="U45" s="188">
        <f t="shared" si="44"/>
        <v>6.6804018899395468E-2</v>
      </c>
      <c r="W45" s="84">
        <f>'Cash Flow Model'!E182</f>
        <v>253900</v>
      </c>
      <c r="X45" s="84">
        <f>'Cash Flow Model'!E197</f>
        <v>253900</v>
      </c>
      <c r="Y45" s="665"/>
      <c r="Z45" s="686" t="str">
        <f t="shared" si="8"/>
        <v>12p, low£</v>
      </c>
      <c r="AA45" s="13"/>
      <c r="AB45" s="6"/>
      <c r="AC45" s="677"/>
      <c r="AD45" s="668">
        <f t="shared" si="35"/>
        <v>253900</v>
      </c>
      <c r="AE45" s="677"/>
      <c r="AF45" s="677"/>
      <c r="AG45" s="677"/>
      <c r="AH45" s="677"/>
      <c r="AI45" s="677"/>
      <c r="AJ45" s="678"/>
      <c r="AL45" s="683" t="str">
        <f t="shared" si="10"/>
        <v>12p, low£</v>
      </c>
      <c r="AM45" s="679"/>
      <c r="AN45" s="677"/>
      <c r="AO45" s="677"/>
      <c r="AP45" s="668">
        <f t="shared" si="36"/>
        <v>253900</v>
      </c>
      <c r="AQ45" s="677"/>
      <c r="AR45" s="677"/>
      <c r="AS45" s="677"/>
      <c r="AT45" s="677"/>
      <c r="AU45" s="677"/>
      <c r="AV45" s="678"/>
    </row>
    <row r="46" spans="1:48" x14ac:dyDescent="0.25">
      <c r="A46" s="181" t="str">
        <f t="shared" si="37"/>
        <v>300kW, high lease</v>
      </c>
      <c r="B46" s="182" t="str">
        <f t="shared" si="26"/>
        <v>12p, low£</v>
      </c>
      <c r="C46" s="49" t="str">
        <f t="shared" si="38"/>
        <v>300kW, 
£1000/acre</v>
      </c>
      <c r="D46" s="39" t="str">
        <f t="shared" si="26"/>
        <v>12p/kWh, high capex</v>
      </c>
      <c r="E46" s="59">
        <f>'Cash Flow Model'!E75</f>
        <v>0.10338084376102774</v>
      </c>
      <c r="F46" s="59"/>
      <c r="G46" s="59"/>
      <c r="H46" s="84">
        <f>ROUND('Cash Flow Model'!E91,-2)</f>
        <v>11600</v>
      </c>
      <c r="I46" s="84">
        <f>'Cash Flow Model'!E106</f>
        <v>6000</v>
      </c>
      <c r="J46" s="98">
        <f>'Cash Flow Model'!E121</f>
        <v>3.0000000000000016E-2</v>
      </c>
      <c r="K46" s="84">
        <f>'Cash Flow Model'!E168</f>
        <v>1684.65</v>
      </c>
      <c r="L46" s="109">
        <f>'Cash Flow Model'!E138</f>
        <v>25334.440559999995</v>
      </c>
      <c r="M46" s="116">
        <f>'Cash Flow Model'!E153</f>
        <v>206.77799999999999</v>
      </c>
      <c r="N46" s="109">
        <f>ROUND(($M46*'Global assumptions'!D20*10)-$L46,-2)</f>
        <v>3700</v>
      </c>
      <c r="O46" s="118"/>
      <c r="P46" s="13" t="str">
        <f t="shared" si="39"/>
        <v>300kW, high lease. 10p, low£</v>
      </c>
      <c r="Q46" s="172">
        <f t="shared" si="40"/>
        <v>10200</v>
      </c>
      <c r="R46" s="172">
        <f t="shared" si="41"/>
        <v>4900</v>
      </c>
      <c r="S46" s="173">
        <f t="shared" si="42"/>
        <v>7900</v>
      </c>
      <c r="T46" s="186">
        <f t="shared" si="43"/>
        <v>1700</v>
      </c>
      <c r="U46" s="188">
        <f t="shared" si="44"/>
        <v>0.11637277941678392</v>
      </c>
      <c r="W46" s="84">
        <f>'Cash Flow Model'!E183</f>
        <v>198100</v>
      </c>
      <c r="X46" s="84">
        <f>'Cash Flow Model'!E198</f>
        <v>197500</v>
      </c>
      <c r="Y46" s="665"/>
      <c r="Z46" s="686" t="str">
        <f t="shared" si="8"/>
        <v>12p, low£</v>
      </c>
      <c r="AA46" s="13"/>
      <c r="AB46" s="6"/>
      <c r="AC46" s="677"/>
      <c r="AD46" s="668">
        <f t="shared" si="35"/>
        <v>198100</v>
      </c>
      <c r="AE46" s="677"/>
      <c r="AF46" s="677"/>
      <c r="AG46" s="677"/>
      <c r="AH46" s="677"/>
      <c r="AI46" s="677"/>
      <c r="AJ46" s="678"/>
      <c r="AL46" s="683" t="str">
        <f t="shared" si="10"/>
        <v>12p, low£</v>
      </c>
      <c r="AM46" s="679"/>
      <c r="AN46" s="677"/>
      <c r="AO46" s="677"/>
      <c r="AP46" s="668">
        <f t="shared" si="36"/>
        <v>197500</v>
      </c>
      <c r="AQ46" s="677"/>
      <c r="AR46" s="677"/>
      <c r="AS46" s="677"/>
      <c r="AT46" s="677"/>
      <c r="AU46" s="677"/>
      <c r="AV46" s="678"/>
    </row>
    <row r="47" spans="1:48" x14ac:dyDescent="0.25">
      <c r="A47" s="181" t="str">
        <f t="shared" si="37"/>
        <v>300kW, high lease</v>
      </c>
      <c r="B47" s="182" t="str">
        <f t="shared" si="26"/>
        <v>9p, mid£, grid+</v>
      </c>
      <c r="C47" s="49" t="str">
        <f t="shared" si="38"/>
        <v>300kW, 
£1000/acre</v>
      </c>
      <c r="D47" s="39" t="str">
        <f t="shared" si="26"/>
        <v>9p/kWh, mid capex, high grid</v>
      </c>
      <c r="E47" s="59">
        <f>'Cash Flow Model'!E76</f>
        <v>7.4040702924951463E-2</v>
      </c>
      <c r="F47" s="59"/>
      <c r="G47" s="59"/>
      <c r="H47" s="84">
        <f>ROUND('Cash Flow Model'!E92,-2)</f>
        <v>5000</v>
      </c>
      <c r="I47" s="84">
        <f>'Cash Flow Model'!E107</f>
        <v>6000</v>
      </c>
      <c r="J47" s="98">
        <f>'Cash Flow Model'!E122</f>
        <v>3.0000000000000016E-2</v>
      </c>
      <c r="K47" s="84">
        <f>'Cash Flow Model'!E169</f>
        <v>1684.65</v>
      </c>
      <c r="L47" s="109">
        <f>'Cash Flow Model'!E139</f>
        <v>19000.830419999998</v>
      </c>
      <c r="M47" s="116">
        <f>'Cash Flow Model'!E154</f>
        <v>206.77799999999999</v>
      </c>
      <c r="N47" s="109">
        <f>ROUND(($M47*'Global assumptions'!D20*10)-$L47,-2)</f>
        <v>10000</v>
      </c>
      <c r="O47" s="118"/>
      <c r="P47" s="13" t="str">
        <f t="shared" si="39"/>
        <v>300kW, high lease. 10p, high£</v>
      </c>
      <c r="Q47" s="172">
        <f t="shared" si="40"/>
        <v>6700</v>
      </c>
      <c r="R47" s="172">
        <f t="shared" si="41"/>
        <v>6000</v>
      </c>
      <c r="S47" s="173">
        <f t="shared" si="42"/>
        <v>7900</v>
      </c>
      <c r="T47" s="186">
        <f t="shared" si="43"/>
        <v>1700</v>
      </c>
      <c r="U47" s="188">
        <f t="shared" si="44"/>
        <v>7.9569326882912073E-2</v>
      </c>
      <c r="W47" s="84">
        <f>'Cash Flow Model'!E184</f>
        <v>98600</v>
      </c>
      <c r="X47" s="84">
        <f>'Cash Flow Model'!E199</f>
        <v>98500</v>
      </c>
      <c r="Y47" s="665"/>
      <c r="Z47" s="686" t="str">
        <f t="shared" si="8"/>
        <v>9p, mid£, grid+</v>
      </c>
      <c r="AA47" s="13"/>
      <c r="AB47" s="6"/>
      <c r="AC47" s="677"/>
      <c r="AD47" s="668">
        <f t="shared" si="35"/>
        <v>98600</v>
      </c>
      <c r="AE47" s="677"/>
      <c r="AF47" s="677"/>
      <c r="AG47" s="677"/>
      <c r="AH47" s="677"/>
      <c r="AI47" s="677"/>
      <c r="AJ47" s="678"/>
      <c r="AL47" s="683" t="str">
        <f t="shared" si="10"/>
        <v>9p, mid£, grid+</v>
      </c>
      <c r="AM47" s="679"/>
      <c r="AN47" s="677"/>
      <c r="AO47" s="677"/>
      <c r="AP47" s="668">
        <f t="shared" si="36"/>
        <v>98500</v>
      </c>
      <c r="AQ47" s="677"/>
      <c r="AR47" s="677"/>
      <c r="AS47" s="677"/>
      <c r="AT47" s="677"/>
      <c r="AU47" s="677"/>
      <c r="AV47" s="678"/>
    </row>
    <row r="48" spans="1:48" x14ac:dyDescent="0.25">
      <c r="A48" s="181" t="str">
        <f t="shared" si="37"/>
        <v>300kW, high lease</v>
      </c>
      <c r="B48" s="182" t="str">
        <f t="shared" si="26"/>
        <v>9p, high£, grid+</v>
      </c>
      <c r="C48" s="49" t="str">
        <f t="shared" si="38"/>
        <v>300kW, 
£1000/acre</v>
      </c>
      <c r="D48" s="39" t="str">
        <f t="shared" si="26"/>
        <v>9p/kWh, high capex, high grid</v>
      </c>
      <c r="E48" s="59">
        <f>'Cash Flow Model'!E77</f>
        <v>5.8023408912808438E-2</v>
      </c>
      <c r="F48" s="59"/>
      <c r="G48" s="59"/>
      <c r="H48" s="84">
        <f>ROUND('Cash Flow Model'!E93,-2)</f>
        <v>3900</v>
      </c>
      <c r="I48" s="84">
        <f>'Cash Flow Model'!E108</f>
        <v>4111.6262810635253</v>
      </c>
      <c r="J48" s="98">
        <f>'Cash Flow Model'!E123</f>
        <v>2.6804474917233621E-2</v>
      </c>
      <c r="K48" s="84">
        <f>'Cash Flow Model'!E170</f>
        <v>1684.65</v>
      </c>
      <c r="L48" s="109">
        <f>'Cash Flow Model'!E140</f>
        <v>19000.830419999998</v>
      </c>
      <c r="M48" s="116">
        <f>'Cash Flow Model'!E155</f>
        <v>206.77799999999999</v>
      </c>
      <c r="N48" s="109">
        <f>ROUND(($M48*'Global assumptions'!D20*10)-$L48,-2)</f>
        <v>10000</v>
      </c>
      <c r="O48" s="118"/>
      <c r="P48" s="13" t="str">
        <f t="shared" si="39"/>
        <v>300kW, high lease. 12p, low£</v>
      </c>
      <c r="Q48" s="172">
        <f t="shared" si="40"/>
        <v>15100</v>
      </c>
      <c r="R48" s="172">
        <f t="shared" si="41"/>
        <v>4900</v>
      </c>
      <c r="S48" s="173">
        <f t="shared" si="42"/>
        <v>3700</v>
      </c>
      <c r="T48" s="186">
        <f t="shared" si="43"/>
        <v>1700</v>
      </c>
      <c r="U48" s="188">
        <f t="shared" si="44"/>
        <v>0.14540336331951909</v>
      </c>
      <c r="W48" s="84">
        <f>'Cash Flow Model'!E185</f>
        <v>65200</v>
      </c>
      <c r="X48" s="84">
        <f>'Cash Flow Model'!E200</f>
        <v>64100</v>
      </c>
      <c r="Y48" s="665"/>
      <c r="Z48" s="686" t="str">
        <f t="shared" si="8"/>
        <v>9p, high£, grid+</v>
      </c>
      <c r="AA48" s="13"/>
      <c r="AB48" s="6"/>
      <c r="AC48" s="677"/>
      <c r="AD48" s="668">
        <f t="shared" si="35"/>
        <v>65200</v>
      </c>
      <c r="AE48" s="677"/>
      <c r="AF48" s="677"/>
      <c r="AG48" s="677"/>
      <c r="AH48" s="677"/>
      <c r="AI48" s="677"/>
      <c r="AJ48" s="678"/>
      <c r="AL48" s="683" t="str">
        <f t="shared" si="10"/>
        <v>9p, high£, grid+</v>
      </c>
      <c r="AM48" s="679"/>
      <c r="AN48" s="677"/>
      <c r="AO48" s="677"/>
      <c r="AP48" s="668">
        <f t="shared" si="36"/>
        <v>64100</v>
      </c>
      <c r="AQ48" s="677"/>
      <c r="AR48" s="677"/>
      <c r="AS48" s="677"/>
      <c r="AT48" s="677"/>
      <c r="AU48" s="677"/>
      <c r="AV48" s="678"/>
    </row>
    <row r="49" spans="1:48" x14ac:dyDescent="0.25">
      <c r="A49" s="181" t="str">
        <f t="shared" si="37"/>
        <v>300kW, high lease</v>
      </c>
      <c r="B49" s="182" t="str">
        <f t="shared" si="26"/>
        <v>10p, mid£, grid+</v>
      </c>
      <c r="C49" s="49" t="str">
        <f t="shared" si="38"/>
        <v>300kW, 
£1000/acre</v>
      </c>
      <c r="D49" s="39" t="str">
        <f t="shared" si="26"/>
        <v>10p/kWh, mid capex, high grid</v>
      </c>
      <c r="E49" s="59">
        <f>'Cash Flow Model'!E78</f>
        <v>8.730571998752068E-2</v>
      </c>
      <c r="F49" s="59"/>
      <c r="G49" s="59"/>
      <c r="H49" s="84">
        <f>ROUND('Cash Flow Model'!E94,-2)</f>
        <v>7400</v>
      </c>
      <c r="I49" s="84">
        <f>'Cash Flow Model'!E109</f>
        <v>6000</v>
      </c>
      <c r="J49" s="98">
        <f>'Cash Flow Model'!E124</f>
        <v>3.0000000000000016E-2</v>
      </c>
      <c r="K49" s="84">
        <f>'Cash Flow Model'!E171</f>
        <v>1684.65</v>
      </c>
      <c r="L49" s="109">
        <f>'Cash Flow Model'!E141</f>
        <v>21112.033799999997</v>
      </c>
      <c r="M49" s="116">
        <f>'Cash Flow Model'!E156</f>
        <v>206.77799999999999</v>
      </c>
      <c r="N49" s="109">
        <f>ROUND(($M49*'Global assumptions'!D20*10)-$L49,-2)</f>
        <v>7900</v>
      </c>
      <c r="O49" s="118"/>
      <c r="P49" s="13" t="str">
        <f t="shared" si="39"/>
        <v>300kW, high lease. 12p, low£</v>
      </c>
      <c r="Q49" s="172">
        <f t="shared" si="40"/>
        <v>11600</v>
      </c>
      <c r="R49" s="172">
        <f t="shared" si="41"/>
        <v>6000</v>
      </c>
      <c r="S49" s="173">
        <f t="shared" si="42"/>
        <v>3700</v>
      </c>
      <c r="T49" s="186">
        <f t="shared" si="43"/>
        <v>1700</v>
      </c>
      <c r="U49" s="188">
        <f t="shared" si="44"/>
        <v>0.10338084376102774</v>
      </c>
      <c r="W49" s="84">
        <f>'Cash Flow Model'!E186</f>
        <v>136500</v>
      </c>
      <c r="X49" s="84">
        <f>'Cash Flow Model'!E201</f>
        <v>136300</v>
      </c>
      <c r="Y49" s="665"/>
      <c r="Z49" s="686" t="str">
        <f t="shared" si="8"/>
        <v>10p, mid£, grid+</v>
      </c>
      <c r="AA49" s="13"/>
      <c r="AB49" s="6"/>
      <c r="AC49" s="677"/>
      <c r="AD49" s="668">
        <f t="shared" si="35"/>
        <v>136500</v>
      </c>
      <c r="AE49" s="677"/>
      <c r="AF49" s="677"/>
      <c r="AG49" s="677"/>
      <c r="AH49" s="677"/>
      <c r="AI49" s="677"/>
      <c r="AJ49" s="678"/>
      <c r="AL49" s="683" t="str">
        <f t="shared" si="10"/>
        <v>10p, mid£, grid+</v>
      </c>
      <c r="AM49" s="679"/>
      <c r="AN49" s="677"/>
      <c r="AO49" s="677"/>
      <c r="AP49" s="668">
        <f t="shared" si="36"/>
        <v>136300</v>
      </c>
      <c r="AQ49" s="677"/>
      <c r="AR49" s="677"/>
      <c r="AS49" s="677"/>
      <c r="AT49" s="677"/>
      <c r="AU49" s="677"/>
      <c r="AV49" s="678"/>
    </row>
    <row r="50" spans="1:48" x14ac:dyDescent="0.25">
      <c r="A50" s="181" t="str">
        <f t="shared" si="37"/>
        <v>300kW, high lease</v>
      </c>
      <c r="B50" s="182" t="str">
        <f t="shared" si="26"/>
        <v>10p, high£, grid+</v>
      </c>
      <c r="C50" s="49" t="str">
        <f t="shared" si="38"/>
        <v>300kW, 
£1000/acre</v>
      </c>
      <c r="D50" s="39" t="str">
        <f t="shared" si="26"/>
        <v>10p/kWh, high capex, high grid</v>
      </c>
      <c r="E50" s="59">
        <f>'Cash Flow Model'!E79</f>
        <v>7.0208662064404903E-2</v>
      </c>
      <c r="F50" s="59"/>
      <c r="G50" s="59"/>
      <c r="H50" s="84">
        <f>ROUND('Cash Flow Model'!E95,-2)</f>
        <v>5700</v>
      </c>
      <c r="I50" s="84">
        <f>'Cash Flow Model'!E110</f>
        <v>6000</v>
      </c>
      <c r="J50" s="98">
        <f>'Cash Flow Model'!E125</f>
        <v>2.990082746850764E-2</v>
      </c>
      <c r="K50" s="84">
        <f>'Cash Flow Model'!E172</f>
        <v>1684.65</v>
      </c>
      <c r="L50" s="109">
        <f>'Cash Flow Model'!E142</f>
        <v>21112.033799999997</v>
      </c>
      <c r="M50" s="116">
        <f>'Cash Flow Model'!E157</f>
        <v>206.77799999999999</v>
      </c>
      <c r="N50" s="109">
        <f>ROUND(($M50*'Global assumptions'!D20*10)-$L50,-2)</f>
        <v>7900</v>
      </c>
      <c r="O50" s="118"/>
      <c r="P50" s="13" t="str">
        <f t="shared" si="39"/>
        <v>300kW, high lease. 9p, mid£, grid+</v>
      </c>
      <c r="Q50" s="172">
        <f t="shared" si="40"/>
        <v>5000</v>
      </c>
      <c r="R50" s="172">
        <f t="shared" si="41"/>
        <v>6000</v>
      </c>
      <c r="S50" s="173">
        <f t="shared" si="42"/>
        <v>10000</v>
      </c>
      <c r="T50" s="186">
        <f t="shared" si="43"/>
        <v>1700</v>
      </c>
      <c r="U50" s="188">
        <f t="shared" si="44"/>
        <v>7.4040702924951463E-2</v>
      </c>
      <c r="W50" s="84">
        <f>'Cash Flow Model'!E187</f>
        <v>103000</v>
      </c>
      <c r="X50" s="84">
        <f>'Cash Flow Model'!E202</f>
        <v>102000</v>
      </c>
      <c r="Y50" s="665"/>
      <c r="Z50" s="686" t="str">
        <f t="shared" si="8"/>
        <v>10p, high£, grid+</v>
      </c>
      <c r="AA50" s="13"/>
      <c r="AB50" s="6"/>
      <c r="AC50" s="677"/>
      <c r="AD50" s="668">
        <f t="shared" si="35"/>
        <v>103000</v>
      </c>
      <c r="AE50" s="677"/>
      <c r="AF50" s="677"/>
      <c r="AG50" s="677"/>
      <c r="AH50" s="677"/>
      <c r="AI50" s="677"/>
      <c r="AJ50" s="678"/>
      <c r="AL50" s="683" t="str">
        <f t="shared" si="10"/>
        <v>10p, high£, grid+</v>
      </c>
      <c r="AM50" s="679"/>
      <c r="AN50" s="677"/>
      <c r="AO50" s="677"/>
      <c r="AP50" s="668">
        <f t="shared" si="36"/>
        <v>102000</v>
      </c>
      <c r="AQ50" s="677"/>
      <c r="AR50" s="677"/>
      <c r="AS50" s="677"/>
      <c r="AT50" s="677"/>
      <c r="AU50" s="677"/>
      <c r="AV50" s="678"/>
    </row>
    <row r="51" spans="1:48" x14ac:dyDescent="0.25">
      <c r="A51" s="181" t="str">
        <f t="shared" si="37"/>
        <v>300kW, high lease</v>
      </c>
      <c r="B51" s="182" t="str">
        <f t="shared" si="26"/>
        <v>12p, mid£, grid+</v>
      </c>
      <c r="C51" s="49" t="str">
        <f t="shared" si="38"/>
        <v>300kW, 
£1000/acre</v>
      </c>
      <c r="D51" s="39" t="str">
        <f t="shared" si="26"/>
        <v>12p/kWh, mid capex, high grid</v>
      </c>
      <c r="E51" s="59">
        <f>'Cash Flow Model'!E80</f>
        <v>0.11214138269452856</v>
      </c>
      <c r="F51" s="59"/>
      <c r="G51" s="59"/>
      <c r="H51" s="84">
        <f>ROUND('Cash Flow Model'!E96,-2)</f>
        <v>12300</v>
      </c>
      <c r="I51" s="84">
        <f>'Cash Flow Model'!E111</f>
        <v>6000</v>
      </c>
      <c r="J51" s="98">
        <f>'Cash Flow Model'!E126</f>
        <v>3.0000000000000016E-2</v>
      </c>
      <c r="K51" s="84">
        <f>'Cash Flow Model'!E173</f>
        <v>1684.65</v>
      </c>
      <c r="L51" s="109">
        <f>'Cash Flow Model'!E143</f>
        <v>25334.440559999995</v>
      </c>
      <c r="M51" s="116">
        <f>'Cash Flow Model'!E158</f>
        <v>206.77799999999999</v>
      </c>
      <c r="N51" s="109">
        <f>ROUND(($M51*'Global assumptions'!D20*10)-$L51,-2)</f>
        <v>3700</v>
      </c>
      <c r="O51" s="118"/>
      <c r="P51" s="13" t="str">
        <f t="shared" si="39"/>
        <v>300kW, high lease. 9p, high£, grid+</v>
      </c>
      <c r="Q51" s="172">
        <f t="shared" si="40"/>
        <v>3900</v>
      </c>
      <c r="R51" s="172">
        <f t="shared" si="41"/>
        <v>4100</v>
      </c>
      <c r="S51" s="173">
        <f t="shared" si="42"/>
        <v>10000</v>
      </c>
      <c r="T51" s="186">
        <f t="shared" si="43"/>
        <v>1700</v>
      </c>
      <c r="U51" s="188">
        <f t="shared" si="44"/>
        <v>5.8023408912808438E-2</v>
      </c>
      <c r="W51" s="84">
        <f>'Cash Flow Model'!E188</f>
        <v>212200</v>
      </c>
      <c r="X51" s="84">
        <f>'Cash Flow Model'!E203</f>
        <v>212000</v>
      </c>
      <c r="Y51" s="665"/>
      <c r="Z51" s="686" t="str">
        <f t="shared" si="8"/>
        <v>12p, mid£, grid+</v>
      </c>
      <c r="AA51" s="13"/>
      <c r="AB51" s="6"/>
      <c r="AC51" s="677"/>
      <c r="AD51" s="668">
        <f t="shared" si="35"/>
        <v>212200</v>
      </c>
      <c r="AE51" s="677"/>
      <c r="AF51" s="677"/>
      <c r="AG51" s="677"/>
      <c r="AH51" s="677"/>
      <c r="AI51" s="677"/>
      <c r="AJ51" s="678"/>
      <c r="AL51" s="683" t="str">
        <f t="shared" si="10"/>
        <v>12p, mid£, grid+</v>
      </c>
      <c r="AM51" s="679"/>
      <c r="AN51" s="677"/>
      <c r="AO51" s="677"/>
      <c r="AP51" s="668">
        <f t="shared" si="36"/>
        <v>212000</v>
      </c>
      <c r="AQ51" s="677"/>
      <c r="AR51" s="677"/>
      <c r="AS51" s="677"/>
      <c r="AT51" s="677"/>
      <c r="AU51" s="677"/>
      <c r="AV51" s="678"/>
    </row>
    <row r="52" spans="1:48" x14ac:dyDescent="0.25">
      <c r="A52" s="181" t="str">
        <f t="shared" si="37"/>
        <v>300kW, high lease</v>
      </c>
      <c r="B52" s="182" t="str">
        <f t="shared" si="26"/>
        <v>12p, high£, grid+</v>
      </c>
      <c r="C52" s="49" t="str">
        <f t="shared" si="38"/>
        <v>300kW, 
£1000/acre</v>
      </c>
      <c r="D52" s="39" t="str">
        <f t="shared" si="26"/>
        <v>12p/kWh, high capex, high grid</v>
      </c>
      <c r="E52" s="59">
        <f>'Cash Flow Model'!E81</f>
        <v>9.283487251490774E-2</v>
      </c>
      <c r="F52" s="59"/>
      <c r="G52" s="59"/>
      <c r="H52" s="84">
        <f>ROUND('Cash Flow Model'!E97,-2)</f>
        <v>10600</v>
      </c>
      <c r="I52" s="84">
        <f>'Cash Flow Model'!E112</f>
        <v>6000</v>
      </c>
      <c r="J52" s="98">
        <f>'Cash Flow Model'!E127</f>
        <v>3.0000000000000016E-2</v>
      </c>
      <c r="K52" s="84">
        <f>'Cash Flow Model'!E174</f>
        <v>1684.65</v>
      </c>
      <c r="L52" s="110">
        <f>'Cash Flow Model'!E144</f>
        <v>25334.440559999995</v>
      </c>
      <c r="M52" s="117">
        <f>'Cash Flow Model'!E159</f>
        <v>206.77799999999999</v>
      </c>
      <c r="N52" s="110">
        <f>ROUND(($M52*'Global assumptions'!D20*10)-$L52,-2)</f>
        <v>3700</v>
      </c>
      <c r="O52" s="118"/>
      <c r="P52" s="13" t="str">
        <f t="shared" si="39"/>
        <v>300kW, high lease. 10p, mid£, grid+</v>
      </c>
      <c r="Q52" s="172">
        <f t="shared" si="40"/>
        <v>7400</v>
      </c>
      <c r="R52" s="172">
        <f t="shared" si="41"/>
        <v>6000</v>
      </c>
      <c r="S52" s="173">
        <f t="shared" si="42"/>
        <v>7900</v>
      </c>
      <c r="T52" s="186">
        <f t="shared" si="43"/>
        <v>1700</v>
      </c>
      <c r="U52" s="188">
        <f t="shared" si="44"/>
        <v>8.730571998752068E-2</v>
      </c>
      <c r="W52" s="84">
        <f>'Cash Flow Model'!E189</f>
        <v>178800</v>
      </c>
      <c r="X52" s="84">
        <f>'Cash Flow Model'!E204</f>
        <v>177700</v>
      </c>
      <c r="Y52" s="665"/>
      <c r="Z52" s="686" t="str">
        <f t="shared" si="8"/>
        <v>12p, high£, grid+</v>
      </c>
      <c r="AA52" s="13"/>
      <c r="AB52" s="6"/>
      <c r="AC52" s="677"/>
      <c r="AD52" s="668">
        <f t="shared" si="35"/>
        <v>178800</v>
      </c>
      <c r="AE52" s="677"/>
      <c r="AF52" s="677"/>
      <c r="AG52" s="677"/>
      <c r="AH52" s="677"/>
      <c r="AI52" s="677"/>
      <c r="AJ52" s="678"/>
      <c r="AL52" s="683" t="str">
        <f t="shared" si="10"/>
        <v>12p, high£, grid+</v>
      </c>
      <c r="AM52" s="679"/>
      <c r="AN52" s="677"/>
      <c r="AO52" s="677"/>
      <c r="AP52" s="668">
        <f t="shared" si="36"/>
        <v>177700</v>
      </c>
      <c r="AQ52" s="677"/>
      <c r="AR52" s="677"/>
      <c r="AS52" s="677"/>
      <c r="AT52" s="677"/>
      <c r="AU52" s="677"/>
      <c r="AV52" s="678"/>
    </row>
    <row r="53" spans="1:48" x14ac:dyDescent="0.25">
      <c r="A53" s="179" t="str">
        <f>'Costs (by site)'!I4</f>
        <v>300kW, low lease, no expot</v>
      </c>
      <c r="B53" s="180" t="str">
        <f t="shared" si="26"/>
        <v>9p, low£</v>
      </c>
      <c r="C53" s="48" t="str">
        <f>'Costs (by site)'!I3</f>
        <v>300kW, 
£500/acre (no export)</v>
      </c>
      <c r="D53" s="51" t="str">
        <f t="shared" si="26"/>
        <v>9p/kWh, favourable  capex</v>
      </c>
      <c r="E53" s="60">
        <f>'Cash Flow Model'!F70</f>
        <v>0.11908814778935173</v>
      </c>
      <c r="F53" s="60"/>
      <c r="G53" s="60"/>
      <c r="H53" s="83">
        <f>ROUND('Cash Flow Model'!F86,-2)</f>
        <v>10700</v>
      </c>
      <c r="I53" s="83">
        <f>'Cash Flow Model'!F101</f>
        <v>4939.95</v>
      </c>
      <c r="J53" s="97">
        <f>'Cash Flow Model'!F116</f>
        <v>3.0000000000000016E-2</v>
      </c>
      <c r="K53" s="83">
        <f>'Cash Flow Model'!F163</f>
        <v>842.32500000000005</v>
      </c>
      <c r="L53" s="103">
        <f>'Cash Flow Model'!F133</f>
        <v>23757.681671999995</v>
      </c>
      <c r="M53" s="115">
        <f>'Cash Flow Model'!F148</f>
        <v>258.54480000000001</v>
      </c>
      <c r="N53" s="103">
        <f>ROUND(($M53*'Global assumptions'!D20*10)-$L53,-2)</f>
        <v>12500</v>
      </c>
      <c r="O53" s="118"/>
      <c r="P53" s="13" t="str">
        <f t="shared" si="39"/>
        <v>300kW, high lease. 10p, high£, grid+</v>
      </c>
      <c r="Q53" s="172">
        <f t="shared" si="40"/>
        <v>5700</v>
      </c>
      <c r="R53" s="172">
        <f t="shared" si="41"/>
        <v>6000</v>
      </c>
      <c r="S53" s="173">
        <f t="shared" si="42"/>
        <v>7900</v>
      </c>
      <c r="T53" s="186">
        <f t="shared" si="43"/>
        <v>1700</v>
      </c>
      <c r="U53" s="188">
        <f t="shared" si="44"/>
        <v>7.0208662064404903E-2</v>
      </c>
      <c r="W53" s="83">
        <f>'Cash Flow Model'!F178</f>
        <v>185500</v>
      </c>
      <c r="X53" s="83">
        <f>'Cash Flow Model'!F193</f>
        <v>185500</v>
      </c>
      <c r="Y53" s="665"/>
      <c r="Z53" s="686" t="str">
        <f t="shared" si="8"/>
        <v>9p, low£</v>
      </c>
      <c r="AA53" s="13"/>
      <c r="AB53" s="6"/>
      <c r="AC53" s="677"/>
      <c r="AD53" s="677"/>
      <c r="AE53" s="667">
        <f t="shared" ref="AE53:AE64" si="45">W53</f>
        <v>185500</v>
      </c>
      <c r="AF53" s="677"/>
      <c r="AG53" s="677"/>
      <c r="AH53" s="677"/>
      <c r="AI53" s="677"/>
      <c r="AJ53" s="678"/>
      <c r="AL53" s="683" t="str">
        <f t="shared" si="10"/>
        <v>9p, low£</v>
      </c>
      <c r="AM53" s="679"/>
      <c r="AN53" s="677"/>
      <c r="AO53" s="677"/>
      <c r="AP53" s="677"/>
      <c r="AQ53" s="667">
        <f t="shared" ref="AQ53:AQ64" si="46">X53</f>
        <v>185500</v>
      </c>
      <c r="AR53" s="677"/>
      <c r="AS53" s="677"/>
      <c r="AT53" s="677"/>
      <c r="AU53" s="677"/>
      <c r="AV53" s="678"/>
    </row>
    <row r="54" spans="1:48" x14ac:dyDescent="0.25">
      <c r="A54" s="181" t="str">
        <f>A53</f>
        <v>300kW, low lease, no expot</v>
      </c>
      <c r="B54" s="182" t="str">
        <f t="shared" si="26"/>
        <v>9p, low£</v>
      </c>
      <c r="C54" s="49" t="str">
        <f>C53</f>
        <v>300kW, 
£500/acre (no export)</v>
      </c>
      <c r="D54" s="39" t="str">
        <f t="shared" si="26"/>
        <v>9p/kWh, high capex</v>
      </c>
      <c r="E54" s="59">
        <f>'Cash Flow Model'!F71</f>
        <v>8.1878897408004914E-2</v>
      </c>
      <c r="F54" s="59"/>
      <c r="G54" s="59"/>
      <c r="H54" s="84">
        <f>ROUND('Cash Flow Model'!F87,-2)</f>
        <v>7200</v>
      </c>
      <c r="I54" s="84">
        <f>'Cash Flow Model'!F102</f>
        <v>6000</v>
      </c>
      <c r="J54" s="98">
        <f>'Cash Flow Model'!F117</f>
        <v>3.0000000000000016E-2</v>
      </c>
      <c r="K54" s="84">
        <f>'Cash Flow Model'!F164</f>
        <v>842.32500000000005</v>
      </c>
      <c r="L54" s="109">
        <f>'Cash Flow Model'!F134</f>
        <v>23757.681671999995</v>
      </c>
      <c r="M54" s="116">
        <f>'Cash Flow Model'!F149</f>
        <v>258.54480000000001</v>
      </c>
      <c r="N54" s="109">
        <f>ROUND(($M54*'Global assumptions'!D20*10)-$L54,-2)</f>
        <v>12500</v>
      </c>
      <c r="O54" s="118"/>
      <c r="P54" s="13" t="str">
        <f t="shared" si="39"/>
        <v>300kW, high lease. 12p, mid£, grid+</v>
      </c>
      <c r="Q54" s="172">
        <f t="shared" si="40"/>
        <v>12300</v>
      </c>
      <c r="R54" s="172">
        <f t="shared" si="41"/>
        <v>6000</v>
      </c>
      <c r="S54" s="173">
        <f t="shared" si="42"/>
        <v>3700</v>
      </c>
      <c r="T54" s="186">
        <f t="shared" si="43"/>
        <v>1700</v>
      </c>
      <c r="U54" s="188">
        <f t="shared" si="44"/>
        <v>0.11214138269452856</v>
      </c>
      <c r="W54" s="84">
        <f>'Cash Flow Model'!F179</f>
        <v>129700</v>
      </c>
      <c r="X54" s="84">
        <f>'Cash Flow Model'!F194</f>
        <v>129200</v>
      </c>
      <c r="Y54" s="665"/>
      <c r="Z54" s="686" t="str">
        <f t="shared" si="8"/>
        <v>9p, low£</v>
      </c>
      <c r="AA54" s="13"/>
      <c r="AB54" s="6"/>
      <c r="AC54" s="677"/>
      <c r="AD54" s="677"/>
      <c r="AE54" s="668">
        <f t="shared" si="45"/>
        <v>129700</v>
      </c>
      <c r="AF54" s="677"/>
      <c r="AG54" s="677"/>
      <c r="AH54" s="677"/>
      <c r="AI54" s="677"/>
      <c r="AJ54" s="678"/>
      <c r="AL54" s="683" t="str">
        <f t="shared" si="10"/>
        <v>9p, low£</v>
      </c>
      <c r="AM54" s="679"/>
      <c r="AN54" s="677"/>
      <c r="AO54" s="677"/>
      <c r="AP54" s="677"/>
      <c r="AQ54" s="668">
        <f t="shared" si="46"/>
        <v>129200</v>
      </c>
      <c r="AR54" s="677"/>
      <c r="AS54" s="677"/>
      <c r="AT54" s="677"/>
      <c r="AU54" s="677"/>
      <c r="AV54" s="678"/>
    </row>
    <row r="55" spans="1:48" x14ac:dyDescent="0.25">
      <c r="A55" s="181" t="str">
        <f>A53</f>
        <v>300kW, low lease, no expot</v>
      </c>
      <c r="B55" s="182" t="str">
        <f t="shared" si="26"/>
        <v>10p, low£</v>
      </c>
      <c r="C55" s="49" t="str">
        <f>C53</f>
        <v>300kW, 
£500/acre (no export)</v>
      </c>
      <c r="D55" s="39" t="str">
        <f t="shared" si="26"/>
        <v>10p/kWh, favourable  capex</v>
      </c>
      <c r="E55" s="59">
        <f>'Cash Flow Model'!F72</f>
        <v>0.13730140799431356</v>
      </c>
      <c r="F55" s="59"/>
      <c r="G55" s="59"/>
      <c r="H55" s="84">
        <f>ROUND('Cash Flow Model'!F88,-2)</f>
        <v>13800</v>
      </c>
      <c r="I55" s="84">
        <f>'Cash Flow Model'!F103</f>
        <v>4939.95</v>
      </c>
      <c r="J55" s="98">
        <f>'Cash Flow Model'!F118</f>
        <v>3.0000000000000016E-2</v>
      </c>
      <c r="K55" s="84">
        <f>'Cash Flow Model'!F165</f>
        <v>842.32500000000005</v>
      </c>
      <c r="L55" s="109">
        <f>'Cash Flow Model'!F135</f>
        <v>26397.424079999997</v>
      </c>
      <c r="M55" s="116">
        <f>'Cash Flow Model'!F150</f>
        <v>258.54480000000001</v>
      </c>
      <c r="N55" s="109">
        <f>ROUND(($M55*'Global assumptions'!D20*10)-$L55,-2)</f>
        <v>9900</v>
      </c>
      <c r="O55" s="118"/>
      <c r="P55" s="19" t="str">
        <f t="shared" si="39"/>
        <v>300kW, high lease. 12p, high£, grid+</v>
      </c>
      <c r="Q55" s="174">
        <f t="shared" si="40"/>
        <v>10600</v>
      </c>
      <c r="R55" s="174">
        <f t="shared" si="41"/>
        <v>6000</v>
      </c>
      <c r="S55" s="175">
        <f t="shared" si="42"/>
        <v>3700</v>
      </c>
      <c r="T55" s="187">
        <f t="shared" si="43"/>
        <v>1700</v>
      </c>
      <c r="U55" s="188">
        <f t="shared" si="44"/>
        <v>9.283487251490774E-2</v>
      </c>
      <c r="W55" s="84">
        <f>'Cash Flow Model'!F180</f>
        <v>232800</v>
      </c>
      <c r="X55" s="84">
        <f>'Cash Flow Model'!F195</f>
        <v>232800</v>
      </c>
      <c r="Y55" s="665"/>
      <c r="Z55" s="686" t="str">
        <f t="shared" si="8"/>
        <v>10p, low£</v>
      </c>
      <c r="AA55" s="13"/>
      <c r="AB55" s="6"/>
      <c r="AC55" s="677"/>
      <c r="AD55" s="677"/>
      <c r="AE55" s="668">
        <f t="shared" si="45"/>
        <v>232800</v>
      </c>
      <c r="AF55" s="677"/>
      <c r="AG55" s="677"/>
      <c r="AH55" s="677"/>
      <c r="AI55" s="677"/>
      <c r="AJ55" s="678"/>
      <c r="AL55" s="683" t="str">
        <f t="shared" si="10"/>
        <v>10p, low£</v>
      </c>
      <c r="AM55" s="679"/>
      <c r="AN55" s="677"/>
      <c r="AO55" s="677"/>
      <c r="AP55" s="677"/>
      <c r="AQ55" s="668">
        <f t="shared" si="46"/>
        <v>232800</v>
      </c>
      <c r="AR55" s="677"/>
      <c r="AS55" s="677"/>
      <c r="AT55" s="677"/>
      <c r="AU55" s="677"/>
      <c r="AV55" s="678"/>
    </row>
    <row r="56" spans="1:48" x14ac:dyDescent="0.25">
      <c r="A56" s="181" t="str">
        <f t="shared" ref="A56:A64" si="47">A55</f>
        <v>300kW, low lease, no expot</v>
      </c>
      <c r="B56" s="182" t="str">
        <f t="shared" si="26"/>
        <v>10p, high£</v>
      </c>
      <c r="C56" s="49" t="str">
        <f t="shared" ref="C56:C64" si="48">C55</f>
        <v>300kW, 
£500/acre (no export)</v>
      </c>
      <c r="D56" s="39" t="str">
        <f t="shared" si="26"/>
        <v>10p/kWh, high capex</v>
      </c>
      <c r="E56" s="59">
        <f>'Cash Flow Model'!F73</f>
        <v>9.6843177966092986E-2</v>
      </c>
      <c r="F56" s="59"/>
      <c r="G56" s="59"/>
      <c r="H56" s="84">
        <f>ROUND('Cash Flow Model'!F89,-2)</f>
        <v>10200</v>
      </c>
      <c r="I56" s="84">
        <f>'Cash Flow Model'!F104</f>
        <v>6000</v>
      </c>
      <c r="J56" s="98">
        <f>'Cash Flow Model'!F119</f>
        <v>3.0000000000000016E-2</v>
      </c>
      <c r="K56" s="84">
        <f>'Cash Flow Model'!F166</f>
        <v>842.32500000000005</v>
      </c>
      <c r="L56" s="109">
        <f>'Cash Flow Model'!F136</f>
        <v>26397.424079999997</v>
      </c>
      <c r="M56" s="116">
        <f>'Cash Flow Model'!F151</f>
        <v>258.54480000000001</v>
      </c>
      <c r="N56" s="109">
        <f>ROUND(($M56*'Global assumptions'!D20*10)-$L56,-2)</f>
        <v>9900</v>
      </c>
      <c r="O56" s="118"/>
      <c r="P56" s="13"/>
      <c r="Q56" s="172"/>
      <c r="R56" s="172"/>
      <c r="S56" s="173"/>
      <c r="T56" s="186"/>
      <c r="U56" s="188"/>
      <c r="W56" s="84">
        <f>'Cash Flow Model'!F181</f>
        <v>177100</v>
      </c>
      <c r="X56" s="84">
        <f>'Cash Flow Model'!F196</f>
        <v>176500</v>
      </c>
      <c r="Y56" s="665"/>
      <c r="Z56" s="686" t="str">
        <f t="shared" si="8"/>
        <v>10p, high£</v>
      </c>
      <c r="AA56" s="13"/>
      <c r="AB56" s="6"/>
      <c r="AC56" s="677"/>
      <c r="AD56" s="677"/>
      <c r="AE56" s="668">
        <f t="shared" si="45"/>
        <v>177100</v>
      </c>
      <c r="AF56" s="677"/>
      <c r="AG56" s="677"/>
      <c r="AH56" s="677"/>
      <c r="AI56" s="677"/>
      <c r="AJ56" s="678"/>
      <c r="AL56" s="683" t="str">
        <f t="shared" si="10"/>
        <v>10p, high£</v>
      </c>
      <c r="AM56" s="679"/>
      <c r="AN56" s="677"/>
      <c r="AO56" s="677"/>
      <c r="AP56" s="677"/>
      <c r="AQ56" s="668">
        <f t="shared" si="46"/>
        <v>176500</v>
      </c>
      <c r="AR56" s="677"/>
      <c r="AS56" s="677"/>
      <c r="AT56" s="677"/>
      <c r="AU56" s="677"/>
      <c r="AV56" s="678"/>
    </row>
    <row r="57" spans="1:48" x14ac:dyDescent="0.25">
      <c r="A57" s="181" t="str">
        <f t="shared" si="47"/>
        <v>300kW, low lease, no expot</v>
      </c>
      <c r="B57" s="182" t="str">
        <f t="shared" si="26"/>
        <v>12p, low£</v>
      </c>
      <c r="C57" s="49" t="str">
        <f t="shared" si="48"/>
        <v>300kW, 
£500/acre (no export)</v>
      </c>
      <c r="D57" s="39" t="str">
        <f t="shared" si="26"/>
        <v>12p/kWh, favourable  capex</v>
      </c>
      <c r="E57" s="59">
        <f>'Cash Flow Model'!F74</f>
        <v>0.17207048273216574</v>
      </c>
      <c r="F57" s="59"/>
      <c r="G57" s="59"/>
      <c r="H57" s="84">
        <f>ROUND('Cash Flow Model'!F90,-2)</f>
        <v>19800</v>
      </c>
      <c r="I57" s="84">
        <f>'Cash Flow Model'!F105</f>
        <v>4939.95</v>
      </c>
      <c r="J57" s="98">
        <f>'Cash Flow Model'!F120</f>
        <v>3.0000000000000016E-2</v>
      </c>
      <c r="K57" s="84">
        <f>'Cash Flow Model'!F167</f>
        <v>842.32500000000005</v>
      </c>
      <c r="L57" s="109">
        <f>'Cash Flow Model'!F137</f>
        <v>31676.908895999994</v>
      </c>
      <c r="M57" s="116">
        <f>'Cash Flow Model'!F152</f>
        <v>258.54480000000001</v>
      </c>
      <c r="N57" s="109">
        <f>ROUND(($M57*'Global assumptions'!D20*10)-$L57,-2)</f>
        <v>4600</v>
      </c>
      <c r="O57" s="118"/>
      <c r="P57" s="17" t="str">
        <f t="shared" ref="P57:P68" si="49">A53&amp;". "&amp;B53</f>
        <v>300kW, low lease, no expot. 9p, low£</v>
      </c>
      <c r="Q57" s="170">
        <f t="shared" ref="Q57:Q68" si="50">ROUND(H53,-2)</f>
        <v>10700</v>
      </c>
      <c r="R57" s="170">
        <f t="shared" ref="R57:R68" si="51">ROUND(I53,-2)</f>
        <v>4900</v>
      </c>
      <c r="S57" s="171">
        <f t="shared" ref="S57:S68" si="52">N53</f>
        <v>12500</v>
      </c>
      <c r="T57" s="185">
        <f t="shared" ref="T57:T68" si="53">ROUND(K53,-2)</f>
        <v>800</v>
      </c>
      <c r="U57" s="188">
        <f t="shared" ref="U57:U68" si="54">E53</f>
        <v>0.11908814778935173</v>
      </c>
      <c r="W57" s="84">
        <f>'Cash Flow Model'!F182</f>
        <v>327500</v>
      </c>
      <c r="X57" s="84">
        <f>'Cash Flow Model'!F197</f>
        <v>327500</v>
      </c>
      <c r="Y57" s="665"/>
      <c r="Z57" s="686" t="str">
        <f t="shared" si="8"/>
        <v>12p, low£</v>
      </c>
      <c r="AA57" s="13"/>
      <c r="AB57" s="6"/>
      <c r="AC57" s="677"/>
      <c r="AD57" s="677"/>
      <c r="AE57" s="668">
        <f t="shared" si="45"/>
        <v>327500</v>
      </c>
      <c r="AF57" s="677"/>
      <c r="AG57" s="677"/>
      <c r="AH57" s="677"/>
      <c r="AI57" s="677"/>
      <c r="AJ57" s="678"/>
      <c r="AL57" s="683" t="str">
        <f t="shared" si="10"/>
        <v>12p, low£</v>
      </c>
      <c r="AM57" s="679"/>
      <c r="AN57" s="677"/>
      <c r="AO57" s="677"/>
      <c r="AP57" s="677"/>
      <c r="AQ57" s="668">
        <f t="shared" si="46"/>
        <v>327500</v>
      </c>
      <c r="AR57" s="677"/>
      <c r="AS57" s="677"/>
      <c r="AT57" s="677"/>
      <c r="AU57" s="677"/>
      <c r="AV57" s="678"/>
    </row>
    <row r="58" spans="1:48" x14ac:dyDescent="0.25">
      <c r="A58" s="181" t="str">
        <f t="shared" si="47"/>
        <v>300kW, low lease, no expot</v>
      </c>
      <c r="B58" s="182" t="str">
        <f t="shared" si="26"/>
        <v>12p, low£</v>
      </c>
      <c r="C58" s="49" t="str">
        <f t="shared" si="48"/>
        <v>300kW, 
£500/acre (no export)</v>
      </c>
      <c r="D58" s="39" t="str">
        <f t="shared" si="26"/>
        <v>12p/kWh, high capex</v>
      </c>
      <c r="E58" s="59">
        <f>'Cash Flow Model'!F75</f>
        <v>0.12488200682991413</v>
      </c>
      <c r="F58" s="59"/>
      <c r="G58" s="59"/>
      <c r="H58" s="84">
        <f>ROUND('Cash Flow Model'!F91,-2)</f>
        <v>16300</v>
      </c>
      <c r="I58" s="84">
        <f>'Cash Flow Model'!F106</f>
        <v>6000</v>
      </c>
      <c r="J58" s="98">
        <f>'Cash Flow Model'!F121</f>
        <v>3.0000000000000016E-2</v>
      </c>
      <c r="K58" s="84">
        <f>'Cash Flow Model'!F168</f>
        <v>842.32500000000005</v>
      </c>
      <c r="L58" s="109">
        <f>'Cash Flow Model'!F138</f>
        <v>31676.908895999994</v>
      </c>
      <c r="M58" s="116">
        <f>'Cash Flow Model'!F153</f>
        <v>258.54480000000001</v>
      </c>
      <c r="N58" s="109">
        <f>ROUND(($M58*'Global assumptions'!D20*10)-$L58,-2)</f>
        <v>4600</v>
      </c>
      <c r="O58" s="118"/>
      <c r="P58" s="13" t="str">
        <f t="shared" si="49"/>
        <v>300kW, low lease, no expot. 9p, low£</v>
      </c>
      <c r="Q58" s="172">
        <f t="shared" si="50"/>
        <v>7200</v>
      </c>
      <c r="R58" s="172">
        <f t="shared" si="51"/>
        <v>6000</v>
      </c>
      <c r="S58" s="173">
        <f t="shared" si="52"/>
        <v>12500</v>
      </c>
      <c r="T58" s="186">
        <f t="shared" si="53"/>
        <v>800</v>
      </c>
      <c r="U58" s="188">
        <f t="shared" si="54"/>
        <v>8.1878897408004914E-2</v>
      </c>
      <c r="W58" s="84">
        <f>'Cash Flow Model'!F183</f>
        <v>271700</v>
      </c>
      <c r="X58" s="84">
        <f>'Cash Flow Model'!F198</f>
        <v>271200</v>
      </c>
      <c r="Y58" s="665"/>
      <c r="Z58" s="686" t="str">
        <f t="shared" si="8"/>
        <v>12p, low£</v>
      </c>
      <c r="AA58" s="13"/>
      <c r="AB58" s="6"/>
      <c r="AC58" s="677"/>
      <c r="AD58" s="677"/>
      <c r="AE58" s="668">
        <f t="shared" si="45"/>
        <v>271700</v>
      </c>
      <c r="AF58" s="677"/>
      <c r="AG58" s="677"/>
      <c r="AH58" s="677"/>
      <c r="AI58" s="677"/>
      <c r="AJ58" s="678"/>
      <c r="AL58" s="683" t="str">
        <f t="shared" si="10"/>
        <v>12p, low£</v>
      </c>
      <c r="AM58" s="679"/>
      <c r="AN58" s="677"/>
      <c r="AO58" s="677"/>
      <c r="AP58" s="677"/>
      <c r="AQ58" s="668">
        <f t="shared" si="46"/>
        <v>271200</v>
      </c>
      <c r="AR58" s="677"/>
      <c r="AS58" s="677"/>
      <c r="AT58" s="677"/>
      <c r="AU58" s="677"/>
      <c r="AV58" s="678"/>
    </row>
    <row r="59" spans="1:48" x14ac:dyDescent="0.25">
      <c r="A59" s="181" t="str">
        <f t="shared" si="47"/>
        <v>300kW, low lease, no expot</v>
      </c>
      <c r="B59" s="182" t="str">
        <f t="shared" si="26"/>
        <v>9p, mid£, grid+</v>
      </c>
      <c r="C59" s="49" t="str">
        <f t="shared" si="48"/>
        <v>300kW, 
£500/acre (no export)</v>
      </c>
      <c r="D59" s="39" t="str">
        <f t="shared" si="26"/>
        <v>9p/kWh, mid capex, high grid</v>
      </c>
      <c r="E59" s="59">
        <f>'Cash Flow Model'!F76</f>
        <v>8.9695210679356707E-2</v>
      </c>
      <c r="F59" s="59"/>
      <c r="G59" s="59"/>
      <c r="H59" s="84">
        <f>ROUND('Cash Flow Model'!F92,-2)</f>
        <v>7900</v>
      </c>
      <c r="I59" s="84">
        <f>'Cash Flow Model'!F107</f>
        <v>6000</v>
      </c>
      <c r="J59" s="98">
        <f>'Cash Flow Model'!F122</f>
        <v>3.0000000000000016E-2</v>
      </c>
      <c r="K59" s="84">
        <f>'Cash Flow Model'!F169</f>
        <v>842.32500000000005</v>
      </c>
      <c r="L59" s="109">
        <f>'Cash Flow Model'!F139</f>
        <v>23757.681671999995</v>
      </c>
      <c r="M59" s="116">
        <f>'Cash Flow Model'!F154</f>
        <v>258.54480000000001</v>
      </c>
      <c r="N59" s="109">
        <f>ROUND(($M59*'Global assumptions'!D20*10)-$L59,-2)</f>
        <v>12500</v>
      </c>
      <c r="O59" s="118"/>
      <c r="P59" s="13" t="str">
        <f t="shared" si="49"/>
        <v>300kW, low lease, no expot. 10p, low£</v>
      </c>
      <c r="Q59" s="172">
        <f t="shared" si="50"/>
        <v>13800</v>
      </c>
      <c r="R59" s="172">
        <f t="shared" si="51"/>
        <v>4900</v>
      </c>
      <c r="S59" s="173">
        <f t="shared" si="52"/>
        <v>9900</v>
      </c>
      <c r="T59" s="186">
        <f t="shared" si="53"/>
        <v>800</v>
      </c>
      <c r="U59" s="188">
        <f t="shared" si="54"/>
        <v>0.13730140799431356</v>
      </c>
      <c r="W59" s="84">
        <f>'Cash Flow Model'!F184</f>
        <v>143900</v>
      </c>
      <c r="X59" s="84">
        <f>'Cash Flow Model'!F199</f>
        <v>143700</v>
      </c>
      <c r="Y59" s="665"/>
      <c r="Z59" s="686" t="str">
        <f t="shared" si="8"/>
        <v>9p, mid£, grid+</v>
      </c>
      <c r="AA59" s="13"/>
      <c r="AB59" s="6"/>
      <c r="AC59" s="677"/>
      <c r="AD59" s="677"/>
      <c r="AE59" s="668">
        <f t="shared" si="45"/>
        <v>143900</v>
      </c>
      <c r="AF59" s="677"/>
      <c r="AG59" s="677"/>
      <c r="AH59" s="677"/>
      <c r="AI59" s="677"/>
      <c r="AJ59" s="678"/>
      <c r="AL59" s="683" t="str">
        <f t="shared" si="10"/>
        <v>9p, mid£, grid+</v>
      </c>
      <c r="AM59" s="679"/>
      <c r="AN59" s="677"/>
      <c r="AO59" s="677"/>
      <c r="AP59" s="677"/>
      <c r="AQ59" s="668">
        <f t="shared" si="46"/>
        <v>143700</v>
      </c>
      <c r="AR59" s="677"/>
      <c r="AS59" s="677"/>
      <c r="AT59" s="677"/>
      <c r="AU59" s="677"/>
      <c r="AV59" s="678"/>
    </row>
    <row r="60" spans="1:48" x14ac:dyDescent="0.25">
      <c r="A60" s="181" t="str">
        <f t="shared" si="47"/>
        <v>300kW, low lease, no expot</v>
      </c>
      <c r="B60" s="182" t="str">
        <f t="shared" si="26"/>
        <v>9p, high£, grid+</v>
      </c>
      <c r="C60" s="49" t="str">
        <f t="shared" si="48"/>
        <v>300kW, 
£500/acre (no export)</v>
      </c>
      <c r="D60" s="39" t="str">
        <f t="shared" si="26"/>
        <v>9p/kWh, high capex, high grid</v>
      </c>
      <c r="E60" s="59">
        <f>'Cash Flow Model'!F77</f>
        <v>7.2425488055223752E-2</v>
      </c>
      <c r="F60" s="59"/>
      <c r="G60" s="59"/>
      <c r="H60" s="84">
        <f>ROUND('Cash Flow Model'!F93,-2)</f>
        <v>6200</v>
      </c>
      <c r="I60" s="84">
        <f>'Cash Flow Model'!F108</f>
        <v>6000</v>
      </c>
      <c r="J60" s="98">
        <f>'Cash Flow Model'!F123</f>
        <v>2.9998707478257652E-2</v>
      </c>
      <c r="K60" s="84">
        <f>'Cash Flow Model'!F170</f>
        <v>842.32500000000005</v>
      </c>
      <c r="L60" s="109">
        <f>'Cash Flow Model'!F140</f>
        <v>23757.681671999995</v>
      </c>
      <c r="M60" s="116">
        <f>'Cash Flow Model'!F155</f>
        <v>258.54480000000001</v>
      </c>
      <c r="N60" s="109">
        <f>ROUND(($M60*'Global assumptions'!D20*10)-$L60,-2)</f>
        <v>12500</v>
      </c>
      <c r="O60" s="118"/>
      <c r="P60" s="13" t="str">
        <f t="shared" si="49"/>
        <v>300kW, low lease, no expot. 10p, high£</v>
      </c>
      <c r="Q60" s="172">
        <f t="shared" si="50"/>
        <v>10200</v>
      </c>
      <c r="R60" s="172">
        <f t="shared" si="51"/>
        <v>6000</v>
      </c>
      <c r="S60" s="173">
        <f t="shared" si="52"/>
        <v>9900</v>
      </c>
      <c r="T60" s="186">
        <f t="shared" si="53"/>
        <v>800</v>
      </c>
      <c r="U60" s="188">
        <f t="shared" si="54"/>
        <v>9.6843177966092986E-2</v>
      </c>
      <c r="W60" s="84">
        <f>'Cash Flow Model'!F185</f>
        <v>110400</v>
      </c>
      <c r="X60" s="84">
        <f>'Cash Flow Model'!F200</f>
        <v>109400</v>
      </c>
      <c r="Y60" s="665"/>
      <c r="Z60" s="686" t="str">
        <f t="shared" si="8"/>
        <v>9p, high£, grid+</v>
      </c>
      <c r="AA60" s="13"/>
      <c r="AB60" s="6"/>
      <c r="AC60" s="677"/>
      <c r="AD60" s="677"/>
      <c r="AE60" s="668">
        <f t="shared" si="45"/>
        <v>110400</v>
      </c>
      <c r="AF60" s="677"/>
      <c r="AG60" s="677"/>
      <c r="AH60" s="677"/>
      <c r="AI60" s="677"/>
      <c r="AJ60" s="678"/>
      <c r="AL60" s="683" t="str">
        <f t="shared" si="10"/>
        <v>9p, high£, grid+</v>
      </c>
      <c r="AM60" s="679"/>
      <c r="AN60" s="677"/>
      <c r="AO60" s="677"/>
      <c r="AP60" s="677"/>
      <c r="AQ60" s="668">
        <f t="shared" si="46"/>
        <v>109400</v>
      </c>
      <c r="AR60" s="677"/>
      <c r="AS60" s="677"/>
      <c r="AT60" s="677"/>
      <c r="AU60" s="677"/>
      <c r="AV60" s="678"/>
    </row>
    <row r="61" spans="1:48" x14ac:dyDescent="0.25">
      <c r="A61" s="181" t="str">
        <f t="shared" si="47"/>
        <v>300kW, low lease, no expot</v>
      </c>
      <c r="B61" s="182" t="str">
        <f t="shared" si="26"/>
        <v>10p, mid£, grid+</v>
      </c>
      <c r="C61" s="49" t="str">
        <f t="shared" si="48"/>
        <v>300kW, 
£500/acre (no export)</v>
      </c>
      <c r="D61" s="39" t="str">
        <f t="shared" si="26"/>
        <v>10p/kWh, mid capex, high grid</v>
      </c>
      <c r="E61" s="59">
        <f>'Cash Flow Model'!F78</f>
        <v>0.10529731323664149</v>
      </c>
      <c r="F61" s="59"/>
      <c r="G61" s="59"/>
      <c r="H61" s="84">
        <f>ROUND('Cash Flow Model'!F94,-2)</f>
        <v>10900</v>
      </c>
      <c r="I61" s="84">
        <f>'Cash Flow Model'!F109</f>
        <v>6000</v>
      </c>
      <c r="J61" s="98">
        <f>'Cash Flow Model'!F124</f>
        <v>3.0000000000000016E-2</v>
      </c>
      <c r="K61" s="84">
        <f>'Cash Flow Model'!F171</f>
        <v>842.32500000000005</v>
      </c>
      <c r="L61" s="109">
        <f>'Cash Flow Model'!F141</f>
        <v>26397.424079999997</v>
      </c>
      <c r="M61" s="116">
        <f>'Cash Flow Model'!F156</f>
        <v>258.54480000000001</v>
      </c>
      <c r="N61" s="109">
        <f>ROUND(($M61*'Global assumptions'!D20*10)-$L61,-2)</f>
        <v>9900</v>
      </c>
      <c r="O61" s="118"/>
      <c r="P61" s="13" t="str">
        <f t="shared" si="49"/>
        <v>300kW, low lease, no expot. 12p, low£</v>
      </c>
      <c r="Q61" s="172">
        <f t="shared" si="50"/>
        <v>19800</v>
      </c>
      <c r="R61" s="172">
        <f t="shared" si="51"/>
        <v>4900</v>
      </c>
      <c r="S61" s="173">
        <f t="shared" si="52"/>
        <v>4600</v>
      </c>
      <c r="T61" s="186">
        <f t="shared" si="53"/>
        <v>800</v>
      </c>
      <c r="U61" s="188">
        <f t="shared" si="54"/>
        <v>0.17207048273216574</v>
      </c>
      <c r="W61" s="84">
        <f>'Cash Flow Model'!F186</f>
        <v>191200</v>
      </c>
      <c r="X61" s="84">
        <f>'Cash Flow Model'!F201</f>
        <v>191000</v>
      </c>
      <c r="Y61" s="665"/>
      <c r="Z61" s="686" t="str">
        <f t="shared" si="8"/>
        <v>10p, mid£, grid+</v>
      </c>
      <c r="AA61" s="13"/>
      <c r="AB61" s="6"/>
      <c r="AC61" s="677"/>
      <c r="AD61" s="677"/>
      <c r="AE61" s="668">
        <f t="shared" si="45"/>
        <v>191200</v>
      </c>
      <c r="AF61" s="677"/>
      <c r="AG61" s="677"/>
      <c r="AH61" s="677"/>
      <c r="AI61" s="677"/>
      <c r="AJ61" s="678"/>
      <c r="AL61" s="683" t="str">
        <f t="shared" si="10"/>
        <v>10p, mid£, grid+</v>
      </c>
      <c r="AM61" s="679"/>
      <c r="AN61" s="677"/>
      <c r="AO61" s="677"/>
      <c r="AP61" s="677"/>
      <c r="AQ61" s="668">
        <f t="shared" si="46"/>
        <v>191000</v>
      </c>
      <c r="AR61" s="677"/>
      <c r="AS61" s="677"/>
      <c r="AT61" s="677"/>
      <c r="AU61" s="677"/>
      <c r="AV61" s="678"/>
    </row>
    <row r="62" spans="1:48" x14ac:dyDescent="0.25">
      <c r="A62" s="181" t="str">
        <f t="shared" si="47"/>
        <v>300kW, low lease, no expot</v>
      </c>
      <c r="B62" s="182" t="str">
        <f t="shared" si="26"/>
        <v>10p, high£, grid+</v>
      </c>
      <c r="C62" s="49" t="str">
        <f t="shared" si="48"/>
        <v>300kW, 
£500/acre (no export)</v>
      </c>
      <c r="D62" s="39" t="str">
        <f t="shared" si="26"/>
        <v>10p/kWh, high capex, high grid</v>
      </c>
      <c r="E62" s="59">
        <f>'Cash Flow Model'!F79</f>
        <v>8.665133340690323E-2</v>
      </c>
      <c r="F62" s="59"/>
      <c r="G62" s="59"/>
      <c r="H62" s="84">
        <f>ROUND('Cash Flow Model'!F95,-2)</f>
        <v>9200</v>
      </c>
      <c r="I62" s="84">
        <f>'Cash Flow Model'!F110</f>
        <v>6000</v>
      </c>
      <c r="J62" s="98">
        <f>'Cash Flow Model'!F125</f>
        <v>3.0000000000000016E-2</v>
      </c>
      <c r="K62" s="84">
        <f>'Cash Flow Model'!F172</f>
        <v>842.32500000000005</v>
      </c>
      <c r="L62" s="109">
        <f>'Cash Flow Model'!F142</f>
        <v>26397.424079999997</v>
      </c>
      <c r="M62" s="116">
        <f>'Cash Flow Model'!F157</f>
        <v>258.54480000000001</v>
      </c>
      <c r="N62" s="109">
        <f>ROUND(($M62*'Global assumptions'!D20*10)-$L62,-2)</f>
        <v>9900</v>
      </c>
      <c r="O62" s="118"/>
      <c r="P62" s="13" t="str">
        <f t="shared" si="49"/>
        <v>300kW, low lease, no expot. 12p, low£</v>
      </c>
      <c r="Q62" s="172">
        <f t="shared" si="50"/>
        <v>16300</v>
      </c>
      <c r="R62" s="172">
        <f t="shared" si="51"/>
        <v>6000</v>
      </c>
      <c r="S62" s="173">
        <f t="shared" si="52"/>
        <v>4600</v>
      </c>
      <c r="T62" s="186">
        <f t="shared" si="53"/>
        <v>800</v>
      </c>
      <c r="U62" s="188">
        <f t="shared" si="54"/>
        <v>0.12488200682991413</v>
      </c>
      <c r="W62" s="84">
        <f>'Cash Flow Model'!F187</f>
        <v>157700</v>
      </c>
      <c r="X62" s="84">
        <f>'Cash Flow Model'!F202</f>
        <v>156700</v>
      </c>
      <c r="Y62" s="665"/>
      <c r="Z62" s="686" t="str">
        <f t="shared" si="8"/>
        <v>10p, high£, grid+</v>
      </c>
      <c r="AA62" s="13"/>
      <c r="AB62" s="6"/>
      <c r="AC62" s="677"/>
      <c r="AD62" s="677"/>
      <c r="AE62" s="668">
        <f t="shared" si="45"/>
        <v>157700</v>
      </c>
      <c r="AF62" s="677"/>
      <c r="AG62" s="677"/>
      <c r="AH62" s="677"/>
      <c r="AI62" s="677"/>
      <c r="AJ62" s="678"/>
      <c r="AL62" s="683" t="str">
        <f t="shared" si="10"/>
        <v>10p, high£, grid+</v>
      </c>
      <c r="AM62" s="679"/>
      <c r="AN62" s="677"/>
      <c r="AO62" s="677"/>
      <c r="AP62" s="677"/>
      <c r="AQ62" s="668">
        <f t="shared" si="46"/>
        <v>156700</v>
      </c>
      <c r="AR62" s="677"/>
      <c r="AS62" s="677"/>
      <c r="AT62" s="677"/>
      <c r="AU62" s="677"/>
      <c r="AV62" s="678"/>
    </row>
    <row r="63" spans="1:48" x14ac:dyDescent="0.25">
      <c r="A63" s="181" t="str">
        <f t="shared" si="47"/>
        <v>300kW, low lease, no expot</v>
      </c>
      <c r="B63" s="182" t="str">
        <f t="shared" si="26"/>
        <v>12p, mid£, grid+</v>
      </c>
      <c r="C63" s="49" t="str">
        <f t="shared" si="48"/>
        <v>300kW, 
£500/acre (no export)</v>
      </c>
      <c r="D63" s="39" t="str">
        <f t="shared" si="26"/>
        <v>12p/kWh, mid capex, high grid</v>
      </c>
      <c r="E63" s="59">
        <f>'Cash Flow Model'!F80</f>
        <v>0.13465301876000746</v>
      </c>
      <c r="F63" s="59"/>
      <c r="G63" s="59"/>
      <c r="H63" s="84">
        <f>ROUND('Cash Flow Model'!F96,-2)</f>
        <v>17000</v>
      </c>
      <c r="I63" s="84">
        <f>'Cash Flow Model'!F111</f>
        <v>6000</v>
      </c>
      <c r="J63" s="98">
        <f>'Cash Flow Model'!F126</f>
        <v>3.0000000000000016E-2</v>
      </c>
      <c r="K63" s="84">
        <f>'Cash Flow Model'!F173</f>
        <v>842.32500000000005</v>
      </c>
      <c r="L63" s="109">
        <f>'Cash Flow Model'!F143</f>
        <v>31676.908895999994</v>
      </c>
      <c r="M63" s="116">
        <f>'Cash Flow Model'!F158</f>
        <v>258.54480000000001</v>
      </c>
      <c r="N63" s="109">
        <f>ROUND(($M63*'Global assumptions'!D20*10)-$L63,-2)</f>
        <v>4600</v>
      </c>
      <c r="O63" s="118"/>
      <c r="P63" s="13" t="str">
        <f t="shared" si="49"/>
        <v>300kW, low lease, no expot. 9p, mid£, grid+</v>
      </c>
      <c r="Q63" s="172">
        <f t="shared" si="50"/>
        <v>7900</v>
      </c>
      <c r="R63" s="172">
        <f t="shared" si="51"/>
        <v>6000</v>
      </c>
      <c r="S63" s="173">
        <f t="shared" si="52"/>
        <v>12500</v>
      </c>
      <c r="T63" s="186">
        <f t="shared" si="53"/>
        <v>800</v>
      </c>
      <c r="U63" s="188">
        <f t="shared" si="54"/>
        <v>8.9695210679356707E-2</v>
      </c>
      <c r="W63" s="84">
        <f>'Cash Flow Model'!F188</f>
        <v>285900</v>
      </c>
      <c r="X63" s="84">
        <f>'Cash Flow Model'!F203</f>
        <v>285700</v>
      </c>
      <c r="Y63" s="665"/>
      <c r="Z63" s="686" t="str">
        <f t="shared" si="8"/>
        <v>12p, mid£, grid+</v>
      </c>
      <c r="AA63" s="13"/>
      <c r="AB63" s="6"/>
      <c r="AC63" s="677"/>
      <c r="AD63" s="677"/>
      <c r="AE63" s="668">
        <f t="shared" si="45"/>
        <v>285900</v>
      </c>
      <c r="AF63" s="677"/>
      <c r="AG63" s="677"/>
      <c r="AH63" s="677"/>
      <c r="AI63" s="677"/>
      <c r="AJ63" s="678"/>
      <c r="AL63" s="683" t="str">
        <f t="shared" si="10"/>
        <v>12p, mid£, grid+</v>
      </c>
      <c r="AM63" s="679"/>
      <c r="AN63" s="677"/>
      <c r="AO63" s="677"/>
      <c r="AP63" s="677"/>
      <c r="AQ63" s="668">
        <f t="shared" si="46"/>
        <v>285700</v>
      </c>
      <c r="AR63" s="677"/>
      <c r="AS63" s="677"/>
      <c r="AT63" s="677"/>
      <c r="AU63" s="677"/>
      <c r="AV63" s="678"/>
    </row>
    <row r="64" spans="1:48" x14ac:dyDescent="0.25">
      <c r="A64" s="181" t="str">
        <f t="shared" si="47"/>
        <v>300kW, low lease, no expot</v>
      </c>
      <c r="B64" s="182" t="str">
        <f t="shared" si="26"/>
        <v>12p, high£, grid+</v>
      </c>
      <c r="C64" s="49" t="str">
        <f t="shared" si="48"/>
        <v>300kW, 
£500/acre (no export)</v>
      </c>
      <c r="D64" s="39" t="str">
        <f t="shared" si="26"/>
        <v>12p/kWh, high capex, high grid</v>
      </c>
      <c r="E64" s="59">
        <f>'Cash Flow Model'!F81</f>
        <v>0.11316964881210101</v>
      </c>
      <c r="F64" s="59"/>
      <c r="G64" s="59"/>
      <c r="H64" s="84">
        <f>ROUND('Cash Flow Model'!F97,-2)</f>
        <v>15300</v>
      </c>
      <c r="I64" s="84">
        <f>'Cash Flow Model'!F112</f>
        <v>6000</v>
      </c>
      <c r="J64" s="98">
        <f>'Cash Flow Model'!F127</f>
        <v>3.0000000000000016E-2</v>
      </c>
      <c r="K64" s="84">
        <f>'Cash Flow Model'!F174</f>
        <v>842.32500000000005</v>
      </c>
      <c r="L64" s="110">
        <f>'Cash Flow Model'!F144</f>
        <v>31676.908895999994</v>
      </c>
      <c r="M64" s="117">
        <f>'Cash Flow Model'!F159</f>
        <v>258.54480000000001</v>
      </c>
      <c r="N64" s="110">
        <f>ROUND(($M64*'Global assumptions'!D20*10)-$L64,-2)</f>
        <v>4600</v>
      </c>
      <c r="O64" s="118"/>
      <c r="P64" s="13" t="str">
        <f t="shared" si="49"/>
        <v>300kW, low lease, no expot. 9p, high£, grid+</v>
      </c>
      <c r="Q64" s="172">
        <f t="shared" si="50"/>
        <v>6200</v>
      </c>
      <c r="R64" s="172">
        <f t="shared" si="51"/>
        <v>6000</v>
      </c>
      <c r="S64" s="173">
        <f t="shared" si="52"/>
        <v>12500</v>
      </c>
      <c r="T64" s="186">
        <f t="shared" si="53"/>
        <v>800</v>
      </c>
      <c r="U64" s="188">
        <f t="shared" si="54"/>
        <v>7.2425488055223752E-2</v>
      </c>
      <c r="W64" s="84">
        <f>'Cash Flow Model'!F189</f>
        <v>252400</v>
      </c>
      <c r="X64" s="84">
        <f>'Cash Flow Model'!F204</f>
        <v>251400</v>
      </c>
      <c r="Y64" s="665"/>
      <c r="Z64" s="686" t="str">
        <f t="shared" si="8"/>
        <v>12p, high£, grid+</v>
      </c>
      <c r="AA64" s="13"/>
      <c r="AB64" s="6"/>
      <c r="AC64" s="677"/>
      <c r="AD64" s="677"/>
      <c r="AE64" s="668">
        <f t="shared" si="45"/>
        <v>252400</v>
      </c>
      <c r="AF64" s="677"/>
      <c r="AG64" s="677"/>
      <c r="AH64" s="677"/>
      <c r="AI64" s="677"/>
      <c r="AJ64" s="678"/>
      <c r="AL64" s="683" t="str">
        <f t="shared" si="10"/>
        <v>12p, high£, grid+</v>
      </c>
      <c r="AM64" s="679"/>
      <c r="AN64" s="677"/>
      <c r="AO64" s="677"/>
      <c r="AP64" s="677"/>
      <c r="AQ64" s="668">
        <f t="shared" si="46"/>
        <v>251400</v>
      </c>
      <c r="AR64" s="677"/>
      <c r="AS64" s="677"/>
      <c r="AT64" s="677"/>
      <c r="AU64" s="677"/>
      <c r="AV64" s="678"/>
    </row>
    <row r="65" spans="1:48" x14ac:dyDescent="0.25">
      <c r="A65" s="179" t="str">
        <f>'Costs (by site)'!J4</f>
        <v>300kW, high lease, no export</v>
      </c>
      <c r="B65" s="180" t="str">
        <f t="shared" si="26"/>
        <v>9p, low£</v>
      </c>
      <c r="C65" s="48" t="str">
        <f>'Costs (by site)'!J3</f>
        <v>300kW, 
£1000/acre (no export)</v>
      </c>
      <c r="D65" s="51" t="str">
        <f t="shared" si="26"/>
        <v>9p/kWh, favourable  capex</v>
      </c>
      <c r="E65" s="60">
        <f>'Cash Flow Model'!G70</f>
        <v>0.11632718042324841</v>
      </c>
      <c r="F65" s="60"/>
      <c r="G65" s="60"/>
      <c r="H65" s="83">
        <f>ROUND('Cash Flow Model'!G86,-2)</f>
        <v>9900</v>
      </c>
      <c r="I65" s="83">
        <f>'Cash Flow Model'!G101</f>
        <v>4804.95</v>
      </c>
      <c r="J65" s="97">
        <f>'Cash Flow Model'!G116</f>
        <v>3.0000000000000016E-2</v>
      </c>
      <c r="K65" s="83">
        <f>'Cash Flow Model'!G163</f>
        <v>1684.65</v>
      </c>
      <c r="L65" s="103">
        <f>'Cash Flow Model'!G133</f>
        <v>23757.681671999995</v>
      </c>
      <c r="M65" s="115">
        <f>'Cash Flow Model'!G148</f>
        <v>258.54480000000001</v>
      </c>
      <c r="N65" s="103">
        <f>ROUND(($M65*'Global assumptions'!D20*10)-$L65,-2)</f>
        <v>12500</v>
      </c>
      <c r="O65" s="118"/>
      <c r="P65" s="13" t="str">
        <f t="shared" si="49"/>
        <v>300kW, low lease, no expot. 10p, mid£, grid+</v>
      </c>
      <c r="Q65" s="172">
        <f t="shared" si="50"/>
        <v>10900</v>
      </c>
      <c r="R65" s="172">
        <f t="shared" si="51"/>
        <v>6000</v>
      </c>
      <c r="S65" s="173">
        <f t="shared" si="52"/>
        <v>9900</v>
      </c>
      <c r="T65" s="186">
        <f t="shared" si="53"/>
        <v>800</v>
      </c>
      <c r="U65" s="188">
        <f t="shared" si="54"/>
        <v>0.10529731323664149</v>
      </c>
      <c r="W65" s="83">
        <f>'Cash Flow Model'!G178</f>
        <v>173100</v>
      </c>
      <c r="X65" s="83">
        <f>'Cash Flow Model'!G193</f>
        <v>173100</v>
      </c>
      <c r="Y65" s="665"/>
      <c r="Z65" s="686" t="str">
        <f t="shared" si="8"/>
        <v>9p, low£</v>
      </c>
      <c r="AA65" s="13"/>
      <c r="AB65" s="6"/>
      <c r="AC65" s="677"/>
      <c r="AD65" s="677"/>
      <c r="AE65" s="677"/>
      <c r="AF65" s="667">
        <f t="shared" ref="AF65:AF76" si="55">W65</f>
        <v>173100</v>
      </c>
      <c r="AG65" s="677"/>
      <c r="AH65" s="677"/>
      <c r="AI65" s="677"/>
      <c r="AJ65" s="678"/>
      <c r="AL65" s="683" t="str">
        <f t="shared" si="10"/>
        <v>9p, low£</v>
      </c>
      <c r="AM65" s="679"/>
      <c r="AN65" s="677"/>
      <c r="AO65" s="677"/>
      <c r="AP65" s="677"/>
      <c r="AQ65" s="677"/>
      <c r="AR65" s="667">
        <f t="shared" ref="AR65:AR76" si="56">X65</f>
        <v>173100</v>
      </c>
      <c r="AS65" s="677"/>
      <c r="AT65" s="677"/>
      <c r="AU65" s="677"/>
      <c r="AV65" s="678"/>
    </row>
    <row r="66" spans="1:48" x14ac:dyDescent="0.25">
      <c r="A66" s="181" t="str">
        <f>A65</f>
        <v>300kW, high lease, no export</v>
      </c>
      <c r="B66" s="182" t="str">
        <f t="shared" si="26"/>
        <v>9p, low£</v>
      </c>
      <c r="C66" s="49" t="str">
        <f>C65</f>
        <v>300kW, 
£1000/acre (no export)</v>
      </c>
      <c r="D66" s="39" t="str">
        <f t="shared" si="26"/>
        <v>9p/kWh, high capex</v>
      </c>
      <c r="E66" s="59">
        <f>'Cash Flow Model'!G71</f>
        <v>7.8710168792969437E-2</v>
      </c>
      <c r="F66" s="59"/>
      <c r="G66" s="59"/>
      <c r="H66" s="84">
        <f>ROUND('Cash Flow Model'!G87,-2)</f>
        <v>6300</v>
      </c>
      <c r="I66" s="84">
        <f>'Cash Flow Model'!G102</f>
        <v>6000</v>
      </c>
      <c r="J66" s="98">
        <f>'Cash Flow Model'!G117</f>
        <v>3.0000000000000016E-2</v>
      </c>
      <c r="K66" s="84">
        <f>'Cash Flow Model'!G164</f>
        <v>1684.65</v>
      </c>
      <c r="L66" s="109">
        <f>'Cash Flow Model'!G134</f>
        <v>23757.681671999995</v>
      </c>
      <c r="M66" s="116">
        <f>'Cash Flow Model'!G149</f>
        <v>258.54480000000001</v>
      </c>
      <c r="N66" s="109">
        <f>ROUND(($M66*'Global assumptions'!D20*10)-$L66,-2)</f>
        <v>12500</v>
      </c>
      <c r="O66" s="118"/>
      <c r="P66" s="13" t="str">
        <f t="shared" si="49"/>
        <v>300kW, low lease, no expot. 10p, high£, grid+</v>
      </c>
      <c r="Q66" s="172">
        <f t="shared" si="50"/>
        <v>9200</v>
      </c>
      <c r="R66" s="172">
        <f t="shared" si="51"/>
        <v>6000</v>
      </c>
      <c r="S66" s="173">
        <f t="shared" si="52"/>
        <v>9900</v>
      </c>
      <c r="T66" s="186">
        <f t="shared" si="53"/>
        <v>800</v>
      </c>
      <c r="U66" s="188">
        <f t="shared" si="54"/>
        <v>8.665133340690323E-2</v>
      </c>
      <c r="W66" s="84">
        <f>'Cash Flow Model'!G179</f>
        <v>117300</v>
      </c>
      <c r="X66" s="84">
        <f>'Cash Flow Model'!G194</f>
        <v>116900</v>
      </c>
      <c r="Y66" s="665"/>
      <c r="Z66" s="686" t="str">
        <f t="shared" si="8"/>
        <v>9p, low£</v>
      </c>
      <c r="AA66" s="13"/>
      <c r="AB66" s="6"/>
      <c r="AC66" s="677"/>
      <c r="AD66" s="677"/>
      <c r="AE66" s="677"/>
      <c r="AF66" s="668">
        <f t="shared" si="55"/>
        <v>117300</v>
      </c>
      <c r="AG66" s="677"/>
      <c r="AH66" s="677"/>
      <c r="AI66" s="677"/>
      <c r="AJ66" s="678"/>
      <c r="AL66" s="683" t="str">
        <f t="shared" si="10"/>
        <v>9p, low£</v>
      </c>
      <c r="AM66" s="679"/>
      <c r="AN66" s="677"/>
      <c r="AO66" s="677"/>
      <c r="AP66" s="677"/>
      <c r="AQ66" s="677"/>
      <c r="AR66" s="668">
        <f t="shared" si="56"/>
        <v>116900</v>
      </c>
      <c r="AS66" s="677"/>
      <c r="AT66" s="677"/>
      <c r="AU66" s="677"/>
      <c r="AV66" s="678"/>
    </row>
    <row r="67" spans="1:48" x14ac:dyDescent="0.25">
      <c r="A67" s="181" t="str">
        <f>A65</f>
        <v>300kW, high lease, no export</v>
      </c>
      <c r="B67" s="182" t="str">
        <f t="shared" si="26"/>
        <v>10p, low£</v>
      </c>
      <c r="C67" s="49" t="str">
        <f>C65</f>
        <v>300kW, 
£1000/acre (no export)</v>
      </c>
      <c r="D67" s="39" t="str">
        <f t="shared" si="26"/>
        <v>10p/kWh, favourable  capex</v>
      </c>
      <c r="E67" s="59">
        <f>'Cash Flow Model'!G72</f>
        <v>0.13519008438633562</v>
      </c>
      <c r="F67" s="59"/>
      <c r="G67" s="59"/>
      <c r="H67" s="84">
        <f>ROUND('Cash Flow Model'!G88,-2)</f>
        <v>13000</v>
      </c>
      <c r="I67" s="84">
        <f>'Cash Flow Model'!G103</f>
        <v>4804.95</v>
      </c>
      <c r="J67" s="98">
        <f>'Cash Flow Model'!G118</f>
        <v>3.0000000000000016E-2</v>
      </c>
      <c r="K67" s="84">
        <f>'Cash Flow Model'!G165</f>
        <v>1684.65</v>
      </c>
      <c r="L67" s="109">
        <f>'Cash Flow Model'!G135</f>
        <v>26397.424079999997</v>
      </c>
      <c r="M67" s="116">
        <f>'Cash Flow Model'!G150</f>
        <v>258.54480000000001</v>
      </c>
      <c r="N67" s="109">
        <f>ROUND(($M67*'Global assumptions'!D20*10)-$L67,-2)</f>
        <v>9900</v>
      </c>
      <c r="O67" s="118"/>
      <c r="P67" s="13" t="str">
        <f t="shared" si="49"/>
        <v>300kW, low lease, no expot. 12p, mid£, grid+</v>
      </c>
      <c r="Q67" s="172">
        <f t="shared" si="50"/>
        <v>17000</v>
      </c>
      <c r="R67" s="172">
        <f t="shared" si="51"/>
        <v>6000</v>
      </c>
      <c r="S67" s="173">
        <f t="shared" si="52"/>
        <v>4600</v>
      </c>
      <c r="T67" s="186">
        <f t="shared" si="53"/>
        <v>800</v>
      </c>
      <c r="U67" s="188">
        <f t="shared" si="54"/>
        <v>0.13465301876000746</v>
      </c>
      <c r="W67" s="84">
        <f>'Cash Flow Model'!G180</f>
        <v>220400</v>
      </c>
      <c r="X67" s="84">
        <f>'Cash Flow Model'!G195</f>
        <v>220400</v>
      </c>
      <c r="Y67" s="665"/>
      <c r="Z67" s="686" t="str">
        <f t="shared" si="8"/>
        <v>10p, low£</v>
      </c>
      <c r="AA67" s="13"/>
      <c r="AB67" s="6"/>
      <c r="AC67" s="677"/>
      <c r="AD67" s="677"/>
      <c r="AE67" s="677"/>
      <c r="AF67" s="668">
        <f t="shared" si="55"/>
        <v>220400</v>
      </c>
      <c r="AG67" s="677"/>
      <c r="AH67" s="677"/>
      <c r="AI67" s="677"/>
      <c r="AJ67" s="678"/>
      <c r="AL67" s="683" t="str">
        <f t="shared" si="10"/>
        <v>10p, low£</v>
      </c>
      <c r="AM67" s="679"/>
      <c r="AN67" s="677"/>
      <c r="AO67" s="677"/>
      <c r="AP67" s="677"/>
      <c r="AQ67" s="677"/>
      <c r="AR67" s="668">
        <f t="shared" si="56"/>
        <v>220400</v>
      </c>
      <c r="AS67" s="677"/>
      <c r="AT67" s="677"/>
      <c r="AU67" s="677"/>
      <c r="AV67" s="678"/>
    </row>
    <row r="68" spans="1:48" x14ac:dyDescent="0.25">
      <c r="A68" s="181" t="str">
        <f t="shared" ref="A68:A76" si="57">A67</f>
        <v>300kW, high lease, no export</v>
      </c>
      <c r="B68" s="182" t="str">
        <f t="shared" si="26"/>
        <v>10p, high£</v>
      </c>
      <c r="C68" s="49" t="str">
        <f t="shared" ref="C68:C76" si="58">C67</f>
        <v>300kW, 
£1000/acre (no export)</v>
      </c>
      <c r="D68" s="39" t="str">
        <f t="shared" si="26"/>
        <v>10p/kWh, high capex</v>
      </c>
      <c r="E68" s="59">
        <f>'Cash Flow Model'!G73</f>
        <v>9.4174355905222829E-2</v>
      </c>
      <c r="F68" s="59"/>
      <c r="G68" s="59"/>
      <c r="H68" s="84">
        <f>ROUND('Cash Flow Model'!G89,-2)</f>
        <v>9300</v>
      </c>
      <c r="I68" s="84">
        <f>'Cash Flow Model'!G104</f>
        <v>6000</v>
      </c>
      <c r="J68" s="98">
        <f>'Cash Flow Model'!G119</f>
        <v>3.0000000000000016E-2</v>
      </c>
      <c r="K68" s="84">
        <f>'Cash Flow Model'!G166</f>
        <v>1684.65</v>
      </c>
      <c r="L68" s="109">
        <f>'Cash Flow Model'!G136</f>
        <v>26397.424079999997</v>
      </c>
      <c r="M68" s="116">
        <f>'Cash Flow Model'!G151</f>
        <v>258.54480000000001</v>
      </c>
      <c r="N68" s="109">
        <f>ROUND(($M68*'Global assumptions'!D20*10)-$L68,-2)</f>
        <v>9900</v>
      </c>
      <c r="O68" s="118"/>
      <c r="P68" s="19" t="str">
        <f t="shared" si="49"/>
        <v>300kW, low lease, no expot. 12p, high£, grid+</v>
      </c>
      <c r="Q68" s="174">
        <f t="shared" si="50"/>
        <v>15300</v>
      </c>
      <c r="R68" s="174">
        <f t="shared" si="51"/>
        <v>6000</v>
      </c>
      <c r="S68" s="175">
        <f t="shared" si="52"/>
        <v>4600</v>
      </c>
      <c r="T68" s="187">
        <f t="shared" si="53"/>
        <v>800</v>
      </c>
      <c r="U68" s="188">
        <f t="shared" si="54"/>
        <v>0.11316964881210101</v>
      </c>
      <c r="W68" s="84">
        <f>'Cash Flow Model'!G181</f>
        <v>164600</v>
      </c>
      <c r="X68" s="84">
        <f>'Cash Flow Model'!G196</f>
        <v>164200</v>
      </c>
      <c r="Y68" s="665"/>
      <c r="Z68" s="686" t="str">
        <f t="shared" si="8"/>
        <v>10p, high£</v>
      </c>
      <c r="AA68" s="13"/>
      <c r="AB68" s="6"/>
      <c r="AC68" s="677"/>
      <c r="AD68" s="677"/>
      <c r="AE68" s="677"/>
      <c r="AF68" s="668">
        <f t="shared" si="55"/>
        <v>164600</v>
      </c>
      <c r="AG68" s="677"/>
      <c r="AH68" s="677"/>
      <c r="AI68" s="677"/>
      <c r="AJ68" s="678"/>
      <c r="AL68" s="683" t="str">
        <f t="shared" si="10"/>
        <v>10p, high£</v>
      </c>
      <c r="AM68" s="679"/>
      <c r="AN68" s="677"/>
      <c r="AO68" s="677"/>
      <c r="AP68" s="677"/>
      <c r="AQ68" s="677"/>
      <c r="AR68" s="668">
        <f t="shared" si="56"/>
        <v>164200</v>
      </c>
      <c r="AS68" s="677"/>
      <c r="AT68" s="677"/>
      <c r="AU68" s="677"/>
      <c r="AV68" s="678"/>
    </row>
    <row r="69" spans="1:48" x14ac:dyDescent="0.25">
      <c r="A69" s="181" t="str">
        <f t="shared" si="57"/>
        <v>300kW, high lease, no export</v>
      </c>
      <c r="B69" s="182" t="str">
        <f t="shared" si="26"/>
        <v>12p, low£</v>
      </c>
      <c r="C69" s="49" t="str">
        <f t="shared" si="58"/>
        <v>300kW, 
£1000/acre (no export)</v>
      </c>
      <c r="D69" s="39" t="str">
        <f t="shared" si="26"/>
        <v>12p/kWh, favourable  capex</v>
      </c>
      <c r="E69" s="59">
        <f>'Cash Flow Model'!G74</f>
        <v>0.17108001243158588</v>
      </c>
      <c r="F69" s="59"/>
      <c r="G69" s="59"/>
      <c r="H69" s="84">
        <f>ROUND('Cash Flow Model'!G90,-2)</f>
        <v>19100</v>
      </c>
      <c r="I69" s="84">
        <f>'Cash Flow Model'!G105</f>
        <v>4804.95</v>
      </c>
      <c r="J69" s="98">
        <f>'Cash Flow Model'!G120</f>
        <v>3.0000000000000016E-2</v>
      </c>
      <c r="K69" s="84">
        <f>'Cash Flow Model'!G167</f>
        <v>1684.65</v>
      </c>
      <c r="L69" s="109">
        <f>'Cash Flow Model'!G137</f>
        <v>31676.908895999994</v>
      </c>
      <c r="M69" s="116">
        <f>'Cash Flow Model'!G152</f>
        <v>258.54480000000001</v>
      </c>
      <c r="N69" s="109">
        <f>ROUND(($M69*'Global assumptions'!D20*10)-$L69,-2)</f>
        <v>4600</v>
      </c>
      <c r="O69" s="118"/>
      <c r="P69" s="13"/>
      <c r="Q69" s="172"/>
      <c r="R69" s="172"/>
      <c r="S69" s="173"/>
      <c r="T69" s="186"/>
      <c r="U69" s="188"/>
      <c r="W69" s="84">
        <f>'Cash Flow Model'!G182</f>
        <v>315100</v>
      </c>
      <c r="X69" s="84">
        <f>'Cash Flow Model'!G197</f>
        <v>315100</v>
      </c>
      <c r="Y69" s="665"/>
      <c r="Z69" s="686" t="str">
        <f t="shared" si="8"/>
        <v>12p, low£</v>
      </c>
      <c r="AA69" s="13"/>
      <c r="AB69" s="6"/>
      <c r="AC69" s="677"/>
      <c r="AD69" s="677"/>
      <c r="AE69" s="677"/>
      <c r="AF69" s="668">
        <f t="shared" si="55"/>
        <v>315100</v>
      </c>
      <c r="AG69" s="677"/>
      <c r="AH69" s="677"/>
      <c r="AI69" s="677"/>
      <c r="AJ69" s="678"/>
      <c r="AL69" s="683" t="str">
        <f t="shared" si="10"/>
        <v>12p, low£</v>
      </c>
      <c r="AM69" s="679"/>
      <c r="AN69" s="677"/>
      <c r="AO69" s="677"/>
      <c r="AP69" s="677"/>
      <c r="AQ69" s="677"/>
      <c r="AR69" s="668">
        <f t="shared" si="56"/>
        <v>315100</v>
      </c>
      <c r="AS69" s="677"/>
      <c r="AT69" s="677"/>
      <c r="AU69" s="677"/>
      <c r="AV69" s="678"/>
    </row>
    <row r="70" spans="1:48" x14ac:dyDescent="0.25">
      <c r="A70" s="181" t="str">
        <f t="shared" si="57"/>
        <v>300kW, high lease, no export</v>
      </c>
      <c r="B70" s="182" t="str">
        <f t="shared" si="26"/>
        <v>12p, low£</v>
      </c>
      <c r="C70" s="49" t="str">
        <f t="shared" si="58"/>
        <v>300kW, 
£1000/acre (no export)</v>
      </c>
      <c r="D70" s="39" t="str">
        <f t="shared" si="26"/>
        <v>12p/kWh, high capex</v>
      </c>
      <c r="E70" s="59">
        <f>'Cash Flow Model'!G75</f>
        <v>0.1230172273323451</v>
      </c>
      <c r="F70" s="59"/>
      <c r="G70" s="59"/>
      <c r="H70" s="84">
        <f>ROUND('Cash Flow Model'!G91,-2)</f>
        <v>15400</v>
      </c>
      <c r="I70" s="84">
        <f>'Cash Flow Model'!G106</f>
        <v>6000</v>
      </c>
      <c r="J70" s="98">
        <f>'Cash Flow Model'!G121</f>
        <v>3.0000000000000016E-2</v>
      </c>
      <c r="K70" s="84">
        <f>'Cash Flow Model'!G168</f>
        <v>1684.65</v>
      </c>
      <c r="L70" s="109">
        <f>'Cash Flow Model'!G138</f>
        <v>31676.908895999994</v>
      </c>
      <c r="M70" s="116">
        <f>'Cash Flow Model'!G153</f>
        <v>258.54480000000001</v>
      </c>
      <c r="N70" s="109">
        <f>ROUND(($M70*'Global assumptions'!D20*10)-$L70,-2)</f>
        <v>4600</v>
      </c>
      <c r="O70" s="118"/>
      <c r="P70" s="17" t="str">
        <f t="shared" ref="P70:P81" si="59">A65&amp;". "&amp;B65</f>
        <v>300kW, high lease, no export. 9p, low£</v>
      </c>
      <c r="Q70" s="170">
        <f t="shared" ref="Q70:Q81" si="60">ROUND(H65,-2)</f>
        <v>9900</v>
      </c>
      <c r="R70" s="170">
        <f t="shared" ref="R70:R81" si="61">ROUND(I65,-2)</f>
        <v>4800</v>
      </c>
      <c r="S70" s="171">
        <f t="shared" ref="S70:S81" si="62">N65</f>
        <v>12500</v>
      </c>
      <c r="T70" s="185">
        <f t="shared" ref="T70:T81" si="63">ROUND(K65,-2)</f>
        <v>1700</v>
      </c>
      <c r="U70" s="188">
        <f t="shared" ref="U70:U81" si="64">E65</f>
        <v>0.11632718042324841</v>
      </c>
      <c r="W70" s="84">
        <f>'Cash Flow Model'!G183</f>
        <v>259300</v>
      </c>
      <c r="X70" s="84">
        <f>'Cash Flow Model'!G198</f>
        <v>258900</v>
      </c>
      <c r="Y70" s="665"/>
      <c r="Z70" s="686" t="str">
        <f t="shared" ref="Z70:Z124" si="65">B70</f>
        <v>12p, low£</v>
      </c>
      <c r="AA70" s="13"/>
      <c r="AB70" s="6"/>
      <c r="AC70" s="677"/>
      <c r="AD70" s="677"/>
      <c r="AE70" s="677"/>
      <c r="AF70" s="668">
        <f t="shared" si="55"/>
        <v>259300</v>
      </c>
      <c r="AG70" s="677"/>
      <c r="AH70" s="677"/>
      <c r="AI70" s="677"/>
      <c r="AJ70" s="678"/>
      <c r="AL70" s="683" t="str">
        <f t="shared" ref="AL70:AL124" si="66">Z70</f>
        <v>12p, low£</v>
      </c>
      <c r="AM70" s="679"/>
      <c r="AN70" s="677"/>
      <c r="AO70" s="677"/>
      <c r="AP70" s="677"/>
      <c r="AQ70" s="677"/>
      <c r="AR70" s="668">
        <f t="shared" si="56"/>
        <v>258900</v>
      </c>
      <c r="AS70" s="677"/>
      <c r="AT70" s="677"/>
      <c r="AU70" s="677"/>
      <c r="AV70" s="678"/>
    </row>
    <row r="71" spans="1:48" x14ac:dyDescent="0.25">
      <c r="A71" s="181" t="str">
        <f t="shared" si="57"/>
        <v>300kW, high lease, no export</v>
      </c>
      <c r="B71" s="182" t="str">
        <f t="shared" si="26"/>
        <v>9p, mid£, grid+</v>
      </c>
      <c r="C71" s="49" t="str">
        <f t="shared" si="58"/>
        <v>300kW, 
£1000/acre (no export)</v>
      </c>
      <c r="D71" s="39" t="str">
        <f t="shared" si="26"/>
        <v>9p/kWh, mid capex, high grid</v>
      </c>
      <c r="E71" s="59">
        <f>'Cash Flow Model'!G76</f>
        <v>9.7620151176513348E-2</v>
      </c>
      <c r="F71" s="59"/>
      <c r="G71" s="59"/>
      <c r="H71" s="85">
        <f>ROUND('Cash Flow Model'!G92,-2)</f>
        <v>8200</v>
      </c>
      <c r="I71" s="84">
        <f>'Cash Flow Model'!G107</f>
        <v>5557.5</v>
      </c>
      <c r="J71" s="98">
        <f>'Cash Flow Model'!G122</f>
        <v>3.0000000000000016E-2</v>
      </c>
      <c r="K71" s="84">
        <f>'Cash Flow Model'!G169</f>
        <v>1684.65</v>
      </c>
      <c r="L71" s="109">
        <f>'Cash Flow Model'!G139</f>
        <v>23757.681671999995</v>
      </c>
      <c r="M71" s="116">
        <f>'Cash Flow Model'!G154</f>
        <v>258.54480000000001</v>
      </c>
      <c r="N71" s="109">
        <f>ROUND(($M71*'Global assumptions'!D20*10)-$L71,-2)</f>
        <v>12500</v>
      </c>
      <c r="O71" s="118"/>
      <c r="P71" s="13" t="str">
        <f t="shared" si="59"/>
        <v>300kW, high lease, no export. 9p, low£</v>
      </c>
      <c r="Q71" s="172">
        <f t="shared" si="60"/>
        <v>6300</v>
      </c>
      <c r="R71" s="172">
        <f t="shared" si="61"/>
        <v>6000</v>
      </c>
      <c r="S71" s="173">
        <f t="shared" si="62"/>
        <v>12500</v>
      </c>
      <c r="T71" s="186">
        <f t="shared" si="63"/>
        <v>1700</v>
      </c>
      <c r="U71" s="188">
        <f t="shared" si="64"/>
        <v>7.8710168792969437E-2</v>
      </c>
      <c r="W71" s="85">
        <f>'Cash Flow Model'!G184</f>
        <v>148800</v>
      </c>
      <c r="X71" s="85">
        <f>'Cash Flow Model'!G199</f>
        <v>148800</v>
      </c>
      <c r="Y71" s="666"/>
      <c r="Z71" s="686" t="str">
        <f t="shared" si="65"/>
        <v>9p, mid£, grid+</v>
      </c>
      <c r="AA71" s="13"/>
      <c r="AB71" s="6"/>
      <c r="AC71" s="677"/>
      <c r="AD71" s="677"/>
      <c r="AE71" s="677"/>
      <c r="AF71" s="669">
        <f t="shared" si="55"/>
        <v>148800</v>
      </c>
      <c r="AG71" s="677"/>
      <c r="AH71" s="677"/>
      <c r="AI71" s="677"/>
      <c r="AJ71" s="678"/>
      <c r="AL71" s="683" t="str">
        <f t="shared" si="66"/>
        <v>9p, mid£, grid+</v>
      </c>
      <c r="AM71" s="679"/>
      <c r="AN71" s="677"/>
      <c r="AO71" s="677"/>
      <c r="AP71" s="677"/>
      <c r="AQ71" s="677"/>
      <c r="AR71" s="669">
        <f t="shared" si="56"/>
        <v>148800</v>
      </c>
      <c r="AS71" s="677"/>
      <c r="AT71" s="677"/>
      <c r="AU71" s="677"/>
      <c r="AV71" s="678"/>
    </row>
    <row r="72" spans="1:48" x14ac:dyDescent="0.25">
      <c r="A72" s="181" t="str">
        <f t="shared" si="57"/>
        <v>300kW, high lease, no export</v>
      </c>
      <c r="B72" s="182" t="str">
        <f t="shared" si="26"/>
        <v>9p, high£, grid+</v>
      </c>
      <c r="C72" s="49" t="str">
        <f t="shared" si="58"/>
        <v>300kW, 
£1000/acre (no export)</v>
      </c>
      <c r="D72" s="39" t="str">
        <f t="shared" si="26"/>
        <v>9p/kWh, high capex, high grid</v>
      </c>
      <c r="E72" s="59">
        <f>'Cash Flow Model'!G77</f>
        <v>7.7698950643226627E-2</v>
      </c>
      <c r="F72" s="59"/>
      <c r="G72" s="59"/>
      <c r="H72" s="85">
        <f>ROUND('Cash Flow Model'!G93,-2)</f>
        <v>6200</v>
      </c>
      <c r="I72" s="84">
        <f>'Cash Flow Model'!G108</f>
        <v>6000</v>
      </c>
      <c r="J72" s="98">
        <f>'Cash Flow Model'!G123</f>
        <v>3.0000000000000016E-2</v>
      </c>
      <c r="K72" s="84">
        <f>'Cash Flow Model'!G170</f>
        <v>1684.65</v>
      </c>
      <c r="L72" s="109">
        <f>'Cash Flow Model'!G140</f>
        <v>23757.681671999995</v>
      </c>
      <c r="M72" s="116">
        <f>'Cash Flow Model'!G155</f>
        <v>258.54480000000001</v>
      </c>
      <c r="N72" s="109">
        <f>ROUND(($M72*'Global assumptions'!D20*10)-$L72,-2)</f>
        <v>12500</v>
      </c>
      <c r="O72" s="118"/>
      <c r="P72" s="13" t="str">
        <f t="shared" si="59"/>
        <v>300kW, high lease, no export. 10p, low£</v>
      </c>
      <c r="Q72" s="172">
        <f t="shared" si="60"/>
        <v>13000</v>
      </c>
      <c r="R72" s="172">
        <f t="shared" si="61"/>
        <v>4800</v>
      </c>
      <c r="S72" s="173">
        <f t="shared" si="62"/>
        <v>9900</v>
      </c>
      <c r="T72" s="186">
        <f t="shared" si="63"/>
        <v>1700</v>
      </c>
      <c r="U72" s="188">
        <f t="shared" si="64"/>
        <v>0.13519008438633562</v>
      </c>
      <c r="W72" s="85">
        <f>'Cash Flow Model'!G185</f>
        <v>115400</v>
      </c>
      <c r="X72" s="85">
        <f>'Cash Flow Model'!G200</f>
        <v>114900</v>
      </c>
      <c r="Y72" s="666"/>
      <c r="Z72" s="686" t="str">
        <f t="shared" si="65"/>
        <v>9p, high£, grid+</v>
      </c>
      <c r="AA72" s="13"/>
      <c r="AB72" s="6"/>
      <c r="AC72" s="677"/>
      <c r="AD72" s="677"/>
      <c r="AE72" s="677"/>
      <c r="AF72" s="669">
        <f t="shared" si="55"/>
        <v>115400</v>
      </c>
      <c r="AG72" s="677"/>
      <c r="AH72" s="677"/>
      <c r="AI72" s="677"/>
      <c r="AJ72" s="678"/>
      <c r="AL72" s="683" t="str">
        <f t="shared" si="66"/>
        <v>9p, high£, grid+</v>
      </c>
      <c r="AM72" s="679"/>
      <c r="AN72" s="677"/>
      <c r="AO72" s="677"/>
      <c r="AP72" s="677"/>
      <c r="AQ72" s="677"/>
      <c r="AR72" s="669">
        <f t="shared" si="56"/>
        <v>114900</v>
      </c>
      <c r="AS72" s="677"/>
      <c r="AT72" s="677"/>
      <c r="AU72" s="677"/>
      <c r="AV72" s="678"/>
    </row>
    <row r="73" spans="1:48" x14ac:dyDescent="0.25">
      <c r="A73" s="181" t="str">
        <f t="shared" si="57"/>
        <v>300kW, high lease, no export</v>
      </c>
      <c r="B73" s="182" t="str">
        <f t="shared" si="26"/>
        <v>10p, mid£, grid+</v>
      </c>
      <c r="C73" s="49" t="str">
        <f t="shared" si="58"/>
        <v>300kW, 
£1000/acre (no export)</v>
      </c>
      <c r="D73" s="39" t="str">
        <f t="shared" si="26"/>
        <v>10p/kWh, mid capex, high grid</v>
      </c>
      <c r="E73" s="59">
        <f>'Cash Flow Model'!G78</f>
        <v>0.11472112312324301</v>
      </c>
      <c r="F73" s="59"/>
      <c r="G73" s="59"/>
      <c r="H73" s="85">
        <f>ROUND('Cash Flow Model'!G94,-2)</f>
        <v>11200</v>
      </c>
      <c r="I73" s="84">
        <f>'Cash Flow Model'!G109</f>
        <v>5557.5</v>
      </c>
      <c r="J73" s="98">
        <f>'Cash Flow Model'!G124</f>
        <v>3.0000000000000016E-2</v>
      </c>
      <c r="K73" s="84">
        <f>'Cash Flow Model'!G171</f>
        <v>1684.65</v>
      </c>
      <c r="L73" s="109">
        <f>'Cash Flow Model'!G141</f>
        <v>26397.424079999997</v>
      </c>
      <c r="M73" s="116">
        <f>'Cash Flow Model'!G156</f>
        <v>258.54480000000001</v>
      </c>
      <c r="N73" s="109">
        <f>ROUND(($M73*'Global assumptions'!D20*10)-$L73,-2)</f>
        <v>9900</v>
      </c>
      <c r="O73" s="118"/>
      <c r="P73" s="13" t="str">
        <f t="shared" si="59"/>
        <v>300kW, high lease, no export. 10p, high£</v>
      </c>
      <c r="Q73" s="172">
        <f t="shared" si="60"/>
        <v>9300</v>
      </c>
      <c r="R73" s="172">
        <f t="shared" si="61"/>
        <v>6000</v>
      </c>
      <c r="S73" s="173">
        <f t="shared" si="62"/>
        <v>9900</v>
      </c>
      <c r="T73" s="186">
        <f t="shared" si="63"/>
        <v>1700</v>
      </c>
      <c r="U73" s="188">
        <f t="shared" si="64"/>
        <v>9.4174355905222829E-2</v>
      </c>
      <c r="W73" s="85">
        <f>'Cash Flow Model'!G186</f>
        <v>196200</v>
      </c>
      <c r="X73" s="85">
        <f>'Cash Flow Model'!G201</f>
        <v>196200</v>
      </c>
      <c r="Y73" s="666"/>
      <c r="Z73" s="686" t="str">
        <f t="shared" si="65"/>
        <v>10p, mid£, grid+</v>
      </c>
      <c r="AA73" s="13"/>
      <c r="AB73" s="6"/>
      <c r="AC73" s="677"/>
      <c r="AD73" s="677"/>
      <c r="AE73" s="677"/>
      <c r="AF73" s="669">
        <f t="shared" si="55"/>
        <v>196200</v>
      </c>
      <c r="AG73" s="677"/>
      <c r="AH73" s="677"/>
      <c r="AI73" s="677"/>
      <c r="AJ73" s="678"/>
      <c r="AL73" s="683" t="str">
        <f t="shared" si="66"/>
        <v>10p, mid£, grid+</v>
      </c>
      <c r="AM73" s="679"/>
      <c r="AN73" s="677"/>
      <c r="AO73" s="677"/>
      <c r="AP73" s="677"/>
      <c r="AQ73" s="677"/>
      <c r="AR73" s="669">
        <f t="shared" si="56"/>
        <v>196200</v>
      </c>
      <c r="AS73" s="677"/>
      <c r="AT73" s="677"/>
      <c r="AU73" s="677"/>
      <c r="AV73" s="678"/>
    </row>
    <row r="74" spans="1:48" x14ac:dyDescent="0.25">
      <c r="A74" s="181" t="str">
        <f t="shared" si="57"/>
        <v>300kW, high lease, no export</v>
      </c>
      <c r="B74" s="182" t="str">
        <f t="shared" si="26"/>
        <v>10p, high£, grid+</v>
      </c>
      <c r="C74" s="49" t="str">
        <f t="shared" si="58"/>
        <v>300kW, 
£1000/acre (no export)</v>
      </c>
      <c r="D74" s="39" t="str">
        <f t="shared" si="26"/>
        <v>10p/kWh, high capex, high grid</v>
      </c>
      <c r="E74" s="59">
        <f>'Cash Flow Model'!G79</f>
        <v>9.3079836943897876E-2</v>
      </c>
      <c r="F74" s="59"/>
      <c r="G74" s="59"/>
      <c r="H74" s="85">
        <f>ROUND('Cash Flow Model'!G95,-2)</f>
        <v>9200</v>
      </c>
      <c r="I74" s="84">
        <f>'Cash Flow Model'!G110</f>
        <v>6000</v>
      </c>
      <c r="J74" s="98">
        <f>'Cash Flow Model'!G125</f>
        <v>3.0000000000000016E-2</v>
      </c>
      <c r="K74" s="84">
        <f>'Cash Flow Model'!G172</f>
        <v>1684.65</v>
      </c>
      <c r="L74" s="109">
        <f>'Cash Flow Model'!G142</f>
        <v>26397.424079999997</v>
      </c>
      <c r="M74" s="116">
        <f>'Cash Flow Model'!G157</f>
        <v>258.54480000000001</v>
      </c>
      <c r="N74" s="109">
        <f>ROUND(($M74*'Global assumptions'!D20*10)-$L74,-2)</f>
        <v>9900</v>
      </c>
      <c r="O74" s="118"/>
      <c r="P74" s="13" t="str">
        <f t="shared" si="59"/>
        <v>300kW, high lease, no export. 12p, low£</v>
      </c>
      <c r="Q74" s="172">
        <f t="shared" si="60"/>
        <v>19100</v>
      </c>
      <c r="R74" s="172">
        <f t="shared" si="61"/>
        <v>4800</v>
      </c>
      <c r="S74" s="173">
        <f t="shared" si="62"/>
        <v>4600</v>
      </c>
      <c r="T74" s="186">
        <f t="shared" si="63"/>
        <v>1700</v>
      </c>
      <c r="U74" s="188">
        <f t="shared" si="64"/>
        <v>0.17108001243158588</v>
      </c>
      <c r="W74" s="85">
        <f>'Cash Flow Model'!G187</f>
        <v>162700</v>
      </c>
      <c r="X74" s="85">
        <f>'Cash Flow Model'!G202</f>
        <v>162200</v>
      </c>
      <c r="Y74" s="666"/>
      <c r="Z74" s="686" t="str">
        <f t="shared" si="65"/>
        <v>10p, high£, grid+</v>
      </c>
      <c r="AA74" s="13"/>
      <c r="AB74" s="6"/>
      <c r="AC74" s="677"/>
      <c r="AD74" s="677"/>
      <c r="AE74" s="677"/>
      <c r="AF74" s="669">
        <f t="shared" si="55"/>
        <v>162700</v>
      </c>
      <c r="AG74" s="677"/>
      <c r="AH74" s="677"/>
      <c r="AI74" s="677"/>
      <c r="AJ74" s="678"/>
      <c r="AL74" s="683" t="str">
        <f t="shared" si="66"/>
        <v>10p, high£, grid+</v>
      </c>
      <c r="AM74" s="679"/>
      <c r="AN74" s="677"/>
      <c r="AO74" s="677"/>
      <c r="AP74" s="677"/>
      <c r="AQ74" s="677"/>
      <c r="AR74" s="669">
        <f t="shared" si="56"/>
        <v>162200</v>
      </c>
      <c r="AS74" s="677"/>
      <c r="AT74" s="677"/>
      <c r="AU74" s="677"/>
      <c r="AV74" s="678"/>
    </row>
    <row r="75" spans="1:48" x14ac:dyDescent="0.25">
      <c r="A75" s="181" t="str">
        <f t="shared" si="57"/>
        <v>300kW, high lease, no export</v>
      </c>
      <c r="B75" s="182" t="str">
        <f t="shared" si="26"/>
        <v>12p, mid£, grid+</v>
      </c>
      <c r="C75" s="49" t="str">
        <f t="shared" si="58"/>
        <v>300kW, 
£1000/acre (no export)</v>
      </c>
      <c r="D75" s="39" t="str">
        <f t="shared" si="26"/>
        <v>12p/kWh, mid capex, high grid</v>
      </c>
      <c r="E75" s="59">
        <f>'Cash Flow Model'!G80</f>
        <v>0.14695065758603576</v>
      </c>
      <c r="F75" s="59"/>
      <c r="G75" s="59"/>
      <c r="H75" s="85">
        <f>ROUND('Cash Flow Model'!G96,-2)</f>
        <v>17300</v>
      </c>
      <c r="I75" s="84">
        <f>'Cash Flow Model'!G111</f>
        <v>5557.5</v>
      </c>
      <c r="J75" s="98">
        <f>'Cash Flow Model'!G126</f>
        <v>3.0000000000000016E-2</v>
      </c>
      <c r="K75" s="84">
        <f>'Cash Flow Model'!G173</f>
        <v>1684.65</v>
      </c>
      <c r="L75" s="109">
        <f>'Cash Flow Model'!G143</f>
        <v>31676.908895999994</v>
      </c>
      <c r="M75" s="116">
        <f>'Cash Flow Model'!G158</f>
        <v>258.54480000000001</v>
      </c>
      <c r="N75" s="109">
        <f>ROUND(($M75*'Global assumptions'!D20*10)-$L75,-2)</f>
        <v>4600</v>
      </c>
      <c r="O75" s="118"/>
      <c r="P75" s="13" t="str">
        <f t="shared" si="59"/>
        <v>300kW, high lease, no export. 12p, low£</v>
      </c>
      <c r="Q75" s="172">
        <f t="shared" si="60"/>
        <v>15400</v>
      </c>
      <c r="R75" s="172">
        <f t="shared" si="61"/>
        <v>6000</v>
      </c>
      <c r="S75" s="173">
        <f t="shared" si="62"/>
        <v>4600</v>
      </c>
      <c r="T75" s="186">
        <f t="shared" si="63"/>
        <v>1700</v>
      </c>
      <c r="U75" s="188">
        <f t="shared" si="64"/>
        <v>0.1230172273323451</v>
      </c>
      <c r="W75" s="85">
        <f>'Cash Flow Model'!G188</f>
        <v>290800</v>
      </c>
      <c r="X75" s="85">
        <f>'Cash Flow Model'!G203</f>
        <v>290800</v>
      </c>
      <c r="Y75" s="666"/>
      <c r="Z75" s="686" t="str">
        <f t="shared" si="65"/>
        <v>12p, mid£, grid+</v>
      </c>
      <c r="AA75" s="13"/>
      <c r="AB75" s="6"/>
      <c r="AC75" s="677"/>
      <c r="AD75" s="677"/>
      <c r="AE75" s="677"/>
      <c r="AF75" s="669">
        <f t="shared" si="55"/>
        <v>290800</v>
      </c>
      <c r="AG75" s="677"/>
      <c r="AH75" s="677"/>
      <c r="AI75" s="677"/>
      <c r="AJ75" s="678"/>
      <c r="AL75" s="683" t="str">
        <f t="shared" si="66"/>
        <v>12p, mid£, grid+</v>
      </c>
      <c r="AM75" s="679"/>
      <c r="AN75" s="677"/>
      <c r="AO75" s="677"/>
      <c r="AP75" s="677"/>
      <c r="AQ75" s="677"/>
      <c r="AR75" s="669">
        <f t="shared" si="56"/>
        <v>290800</v>
      </c>
      <c r="AS75" s="677"/>
      <c r="AT75" s="677"/>
      <c r="AU75" s="677"/>
      <c r="AV75" s="678"/>
    </row>
    <row r="76" spans="1:48" x14ac:dyDescent="0.25">
      <c r="A76" s="181" t="str">
        <f t="shared" si="57"/>
        <v>300kW, high lease, no export</v>
      </c>
      <c r="B76" s="182" t="str">
        <f t="shared" si="26"/>
        <v>12p, high£, grid+</v>
      </c>
      <c r="C76" s="49" t="str">
        <f t="shared" si="58"/>
        <v>300kW, 
£1000/acre (no export)</v>
      </c>
      <c r="D76" s="39" t="str">
        <f t="shared" si="26"/>
        <v>12p/kWh, high capex, high grid</v>
      </c>
      <c r="E76" s="59">
        <f>'Cash Flow Model'!G81</f>
        <v>0.12175086785703271</v>
      </c>
      <c r="F76" s="59"/>
      <c r="G76" s="59"/>
      <c r="H76" s="85">
        <f>ROUND('Cash Flow Model'!G97,-2)</f>
        <v>15300</v>
      </c>
      <c r="I76" s="84">
        <f>'Cash Flow Model'!G112</f>
        <v>6000</v>
      </c>
      <c r="J76" s="98">
        <f>'Cash Flow Model'!G127</f>
        <v>3.0000000000000016E-2</v>
      </c>
      <c r="K76" s="84">
        <f>'Cash Flow Model'!G174</f>
        <v>1684.65</v>
      </c>
      <c r="L76" s="110">
        <f>'Cash Flow Model'!G144</f>
        <v>31676.908895999994</v>
      </c>
      <c r="M76" s="117">
        <f>'Cash Flow Model'!G159</f>
        <v>258.54480000000001</v>
      </c>
      <c r="N76" s="110">
        <f>ROUND(($M76*'Global assumptions'!D20*10)-$L76,-2)</f>
        <v>4600</v>
      </c>
      <c r="O76" s="118"/>
      <c r="P76" s="13" t="str">
        <f t="shared" si="59"/>
        <v>300kW, high lease, no export. 9p, mid£, grid+</v>
      </c>
      <c r="Q76" s="172">
        <f t="shared" si="60"/>
        <v>8200</v>
      </c>
      <c r="R76" s="172">
        <f t="shared" si="61"/>
        <v>5600</v>
      </c>
      <c r="S76" s="173">
        <f t="shared" si="62"/>
        <v>12500</v>
      </c>
      <c r="T76" s="186">
        <f t="shared" si="63"/>
        <v>1700</v>
      </c>
      <c r="U76" s="188">
        <f t="shared" si="64"/>
        <v>9.7620151176513348E-2</v>
      </c>
      <c r="W76" s="85">
        <f>'Cash Flow Model'!G189</f>
        <v>257400</v>
      </c>
      <c r="X76" s="85">
        <f>'Cash Flow Model'!G204</f>
        <v>256900</v>
      </c>
      <c r="Y76" s="666"/>
      <c r="Z76" s="686" t="str">
        <f t="shared" si="65"/>
        <v>12p, high£, grid+</v>
      </c>
      <c r="AA76" s="13"/>
      <c r="AB76" s="6"/>
      <c r="AC76" s="677"/>
      <c r="AD76" s="677"/>
      <c r="AE76" s="677"/>
      <c r="AF76" s="669">
        <f t="shared" si="55"/>
        <v>257400</v>
      </c>
      <c r="AG76" s="677"/>
      <c r="AH76" s="677"/>
      <c r="AI76" s="677"/>
      <c r="AJ76" s="678"/>
      <c r="AL76" s="683" t="str">
        <f t="shared" si="66"/>
        <v>12p, high£, grid+</v>
      </c>
      <c r="AM76" s="679"/>
      <c r="AN76" s="677"/>
      <c r="AO76" s="677"/>
      <c r="AP76" s="677"/>
      <c r="AQ76" s="677"/>
      <c r="AR76" s="669">
        <f t="shared" si="56"/>
        <v>256900</v>
      </c>
      <c r="AS76" s="677"/>
      <c r="AT76" s="677"/>
      <c r="AU76" s="677"/>
      <c r="AV76" s="678"/>
    </row>
    <row r="77" spans="1:48" x14ac:dyDescent="0.25">
      <c r="A77" s="179" t="str">
        <f>'Costs (by site)'!K4</f>
        <v>500kW, low lease, no grant</v>
      </c>
      <c r="B77" s="180" t="str">
        <f t="shared" ref="B77:D88" si="67">B41</f>
        <v>9p, low£</v>
      </c>
      <c r="C77" s="48" t="str">
        <f>'Costs (by site)'!K3</f>
        <v>500kW, 
£500/acre (no grant)</v>
      </c>
      <c r="D77" s="51" t="str">
        <f t="shared" si="67"/>
        <v>9p/kWh, favourable  capex</v>
      </c>
      <c r="E77" s="60">
        <f>'Cash Flow Model'!H70</f>
        <v>2.7860682236890311E-2</v>
      </c>
      <c r="F77" s="60"/>
      <c r="G77" s="60"/>
      <c r="H77" s="86">
        <f>ROUND('Cash Flow Model'!H86,-2)</f>
        <v>5600</v>
      </c>
      <c r="I77" s="83">
        <f>'Cash Flow Model'!H101</f>
        <v>0</v>
      </c>
      <c r="J77" s="97">
        <f>'Cash Flow Model'!H116</f>
        <v>1.8750000000000006E-2</v>
      </c>
      <c r="K77" s="83">
        <f>'Cash Flow Model'!H163</f>
        <v>842.32500000000005</v>
      </c>
      <c r="L77" s="103">
        <f>'Cash Flow Model'!H133</f>
        <v>23757.681671999995</v>
      </c>
      <c r="M77" s="115">
        <f>'Cash Flow Model'!H148</f>
        <v>258.54480000000001</v>
      </c>
      <c r="N77" s="103">
        <f>ROUND(($M77*'Global assumptions'!D20*10)-$L77,-2)</f>
        <v>12500</v>
      </c>
      <c r="O77" s="118"/>
      <c r="P77" s="13" t="str">
        <f t="shared" si="59"/>
        <v>300kW, high lease, no export. 9p, high£, grid+</v>
      </c>
      <c r="Q77" s="172">
        <f t="shared" si="60"/>
        <v>6200</v>
      </c>
      <c r="R77" s="172">
        <f t="shared" si="61"/>
        <v>6000</v>
      </c>
      <c r="S77" s="173">
        <f t="shared" si="62"/>
        <v>12500</v>
      </c>
      <c r="T77" s="186">
        <f t="shared" si="63"/>
        <v>1700</v>
      </c>
      <c r="U77" s="188">
        <f t="shared" si="64"/>
        <v>7.7698950643226627E-2</v>
      </c>
      <c r="W77" s="86">
        <f>'Cash Flow Model'!H178</f>
        <v>-29700</v>
      </c>
      <c r="X77" s="86">
        <f>'Cash Flow Model'!H193</f>
        <v>-34300</v>
      </c>
      <c r="Y77" s="666"/>
      <c r="Z77" s="686" t="str">
        <f t="shared" si="65"/>
        <v>9p, low£</v>
      </c>
      <c r="AA77" s="13"/>
      <c r="AB77" s="6"/>
      <c r="AC77" s="677"/>
      <c r="AD77" s="677"/>
      <c r="AE77" s="677"/>
      <c r="AF77" s="677"/>
      <c r="AG77" s="670">
        <f t="shared" ref="AG77:AG88" si="68">W77</f>
        <v>-29700</v>
      </c>
      <c r="AH77" s="677"/>
      <c r="AI77" s="677"/>
      <c r="AJ77" s="678"/>
      <c r="AL77" s="683" t="str">
        <f t="shared" si="66"/>
        <v>9p, low£</v>
      </c>
      <c r="AM77" s="679"/>
      <c r="AN77" s="677"/>
      <c r="AO77" s="677"/>
      <c r="AP77" s="677"/>
      <c r="AQ77" s="677"/>
      <c r="AR77" s="677"/>
      <c r="AS77" s="670">
        <f t="shared" ref="AS77:AS88" si="69">X77</f>
        <v>-34300</v>
      </c>
      <c r="AT77" s="677"/>
      <c r="AU77" s="677"/>
      <c r="AV77" s="678"/>
    </row>
    <row r="78" spans="1:48" x14ac:dyDescent="0.25">
      <c r="A78" s="181" t="str">
        <f>A77</f>
        <v>500kW, low lease, no grant</v>
      </c>
      <c r="B78" s="182" t="str">
        <f t="shared" si="67"/>
        <v>9p, low£</v>
      </c>
      <c r="C78" s="49" t="str">
        <f>C77</f>
        <v>500kW, 
£500/acre (no grant)</v>
      </c>
      <c r="D78" s="39" t="str">
        <f t="shared" si="67"/>
        <v>9p/kWh, high capex</v>
      </c>
      <c r="E78" s="59">
        <f>'Cash Flow Model'!H71</f>
        <v>9.9751859692134293E-3</v>
      </c>
      <c r="F78" s="59"/>
      <c r="G78" s="59"/>
      <c r="H78" s="85">
        <f>ROUND('Cash Flow Model'!H87,-2)</f>
        <v>5600</v>
      </c>
      <c r="I78" s="84">
        <f>'Cash Flow Model'!H102</f>
        <v>0</v>
      </c>
      <c r="J78" s="98">
        <f>'Cash Flow Model'!H117</f>
        <v>1.8750000000000006E-2</v>
      </c>
      <c r="K78" s="84">
        <f>'Cash Flow Model'!H164</f>
        <v>842.32500000000005</v>
      </c>
      <c r="L78" s="109">
        <f>'Cash Flow Model'!H134</f>
        <v>23757.681671999995</v>
      </c>
      <c r="M78" s="116">
        <f>'Cash Flow Model'!H149</f>
        <v>258.54480000000001</v>
      </c>
      <c r="N78" s="109">
        <f>ROUND(($M78*'Global assumptions'!D20*10)-$L78,-2)</f>
        <v>12500</v>
      </c>
      <c r="O78" s="118"/>
      <c r="P78" s="13" t="str">
        <f t="shared" si="59"/>
        <v>300kW, high lease, no export. 10p, mid£, grid+</v>
      </c>
      <c r="Q78" s="172">
        <f t="shared" si="60"/>
        <v>11200</v>
      </c>
      <c r="R78" s="172">
        <f t="shared" si="61"/>
        <v>5600</v>
      </c>
      <c r="S78" s="173">
        <f t="shared" si="62"/>
        <v>9900</v>
      </c>
      <c r="T78" s="186">
        <f t="shared" si="63"/>
        <v>1700</v>
      </c>
      <c r="U78" s="188">
        <f t="shared" si="64"/>
        <v>0.11472112312324301</v>
      </c>
      <c r="W78" s="85">
        <f>'Cash Flow Model'!H179</f>
        <v>-122000</v>
      </c>
      <c r="X78" s="85">
        <f>'Cash Flow Model'!H194</f>
        <v>-129000</v>
      </c>
      <c r="Y78" s="666"/>
      <c r="Z78" s="686" t="str">
        <f t="shared" si="65"/>
        <v>9p, low£</v>
      </c>
      <c r="AA78" s="13"/>
      <c r="AB78" s="6"/>
      <c r="AC78" s="677"/>
      <c r="AD78" s="677"/>
      <c r="AE78" s="677"/>
      <c r="AF78" s="677"/>
      <c r="AG78" s="669">
        <f t="shared" si="68"/>
        <v>-122000</v>
      </c>
      <c r="AH78" s="677"/>
      <c r="AI78" s="677"/>
      <c r="AJ78" s="678"/>
      <c r="AL78" s="683" t="str">
        <f t="shared" si="66"/>
        <v>9p, low£</v>
      </c>
      <c r="AM78" s="679"/>
      <c r="AN78" s="677"/>
      <c r="AO78" s="677"/>
      <c r="AP78" s="677"/>
      <c r="AQ78" s="677"/>
      <c r="AR78" s="677"/>
      <c r="AS78" s="669">
        <f t="shared" si="69"/>
        <v>-129000</v>
      </c>
      <c r="AT78" s="677"/>
      <c r="AU78" s="677"/>
      <c r="AV78" s="678"/>
    </row>
    <row r="79" spans="1:48" x14ac:dyDescent="0.25">
      <c r="A79" s="181" t="str">
        <f>A77</f>
        <v>500kW, low lease, no grant</v>
      </c>
      <c r="B79" s="182" t="str">
        <f t="shared" si="67"/>
        <v>10p, low£</v>
      </c>
      <c r="C79" s="49" t="str">
        <f>C77</f>
        <v>500kW, 
£500/acre (no grant)</v>
      </c>
      <c r="D79" s="39" t="str">
        <f t="shared" si="67"/>
        <v>10p/kWh, favourable  capex</v>
      </c>
      <c r="E79" s="59">
        <f>'Cash Flow Model'!H72</f>
        <v>3.9098340970497025E-2</v>
      </c>
      <c r="F79" s="59"/>
      <c r="G79" s="59"/>
      <c r="H79" s="85">
        <f>ROUND('Cash Flow Model'!H88,-2)</f>
        <v>7600</v>
      </c>
      <c r="I79" s="84">
        <f>'Cash Flow Model'!H103</f>
        <v>0</v>
      </c>
      <c r="J79" s="98">
        <f>'Cash Flow Model'!H118</f>
        <v>1.8750000000000006E-2</v>
      </c>
      <c r="K79" s="84">
        <f>'Cash Flow Model'!H165</f>
        <v>842.32500000000005</v>
      </c>
      <c r="L79" s="109">
        <f>'Cash Flow Model'!H135</f>
        <v>26397.424079999997</v>
      </c>
      <c r="M79" s="116">
        <f>'Cash Flow Model'!H150</f>
        <v>258.54480000000001</v>
      </c>
      <c r="N79" s="109">
        <f>ROUND(($M79*'Global assumptions'!D20*10)-$L79,-2)</f>
        <v>9900</v>
      </c>
      <c r="O79" s="118"/>
      <c r="P79" s="13" t="str">
        <f t="shared" si="59"/>
        <v>300kW, high lease, no export. 10p, high£, grid+</v>
      </c>
      <c r="Q79" s="172">
        <f t="shared" si="60"/>
        <v>9200</v>
      </c>
      <c r="R79" s="172">
        <f t="shared" si="61"/>
        <v>6000</v>
      </c>
      <c r="S79" s="173">
        <f t="shared" si="62"/>
        <v>9900</v>
      </c>
      <c r="T79" s="186">
        <f t="shared" si="63"/>
        <v>1700</v>
      </c>
      <c r="U79" s="188">
        <f t="shared" si="64"/>
        <v>9.3079836943897876E-2</v>
      </c>
      <c r="W79" s="85">
        <f>'Cash Flow Model'!H180</f>
        <v>17700</v>
      </c>
      <c r="X79" s="85">
        <f>'Cash Flow Model'!H195</f>
        <v>13100</v>
      </c>
      <c r="Y79" s="666"/>
      <c r="Z79" s="686" t="str">
        <f t="shared" si="65"/>
        <v>10p, low£</v>
      </c>
      <c r="AA79" s="13"/>
      <c r="AB79" s="6"/>
      <c r="AC79" s="677"/>
      <c r="AD79" s="677"/>
      <c r="AE79" s="677"/>
      <c r="AF79" s="677"/>
      <c r="AG79" s="669">
        <f t="shared" si="68"/>
        <v>17700</v>
      </c>
      <c r="AH79" s="677"/>
      <c r="AI79" s="677"/>
      <c r="AJ79" s="678"/>
      <c r="AL79" s="683" t="str">
        <f t="shared" si="66"/>
        <v>10p, low£</v>
      </c>
      <c r="AM79" s="679"/>
      <c r="AN79" s="677"/>
      <c r="AO79" s="677"/>
      <c r="AP79" s="677"/>
      <c r="AQ79" s="677"/>
      <c r="AR79" s="677"/>
      <c r="AS79" s="669">
        <f t="shared" si="69"/>
        <v>13100</v>
      </c>
      <c r="AT79" s="677"/>
      <c r="AU79" s="677"/>
      <c r="AV79" s="678"/>
    </row>
    <row r="80" spans="1:48" x14ac:dyDescent="0.25">
      <c r="A80" s="181" t="str">
        <f t="shared" ref="A80:A88" si="70">A79</f>
        <v>500kW, low lease, no grant</v>
      </c>
      <c r="B80" s="182" t="str">
        <f t="shared" si="67"/>
        <v>10p, high£</v>
      </c>
      <c r="C80" s="49" t="str">
        <f t="shared" ref="C80:C88" si="71">C79</f>
        <v>500kW, 
£500/acre (no grant)</v>
      </c>
      <c r="D80" s="39" t="str">
        <f t="shared" si="67"/>
        <v>10p/kWh, high capex</v>
      </c>
      <c r="E80" s="59">
        <f>'Cash Flow Model'!H73</f>
        <v>2.0237333529373513E-2</v>
      </c>
      <c r="F80" s="59"/>
      <c r="G80" s="59"/>
      <c r="H80" s="85">
        <f>ROUND('Cash Flow Model'!H89,-2)</f>
        <v>7600</v>
      </c>
      <c r="I80" s="84">
        <f>'Cash Flow Model'!H104</f>
        <v>0</v>
      </c>
      <c r="J80" s="98">
        <f>'Cash Flow Model'!H119</f>
        <v>1.8750000000000006E-2</v>
      </c>
      <c r="K80" s="84">
        <f>'Cash Flow Model'!H166</f>
        <v>842.32500000000005</v>
      </c>
      <c r="L80" s="109">
        <f>'Cash Flow Model'!H136</f>
        <v>26397.424079999997</v>
      </c>
      <c r="M80" s="116">
        <f>'Cash Flow Model'!H151</f>
        <v>258.54480000000001</v>
      </c>
      <c r="N80" s="109">
        <f>ROUND(($M80*'Global assumptions'!D20*10)-$L80,-2)</f>
        <v>9900</v>
      </c>
      <c r="O80" s="118"/>
      <c r="P80" s="13" t="str">
        <f t="shared" si="59"/>
        <v>300kW, high lease, no export. 12p, mid£, grid+</v>
      </c>
      <c r="Q80" s="172">
        <f t="shared" si="60"/>
        <v>17300</v>
      </c>
      <c r="R80" s="172">
        <f t="shared" si="61"/>
        <v>5600</v>
      </c>
      <c r="S80" s="173">
        <f t="shared" si="62"/>
        <v>4600</v>
      </c>
      <c r="T80" s="186">
        <f t="shared" si="63"/>
        <v>1700</v>
      </c>
      <c r="U80" s="188">
        <f t="shared" si="64"/>
        <v>0.14695065758603576</v>
      </c>
      <c r="W80" s="85">
        <f>'Cash Flow Model'!H181</f>
        <v>-74700</v>
      </c>
      <c r="X80" s="85">
        <f>'Cash Flow Model'!H196</f>
        <v>-81600</v>
      </c>
      <c r="Y80" s="666"/>
      <c r="Z80" s="686" t="str">
        <f t="shared" si="65"/>
        <v>10p, high£</v>
      </c>
      <c r="AA80" s="13"/>
      <c r="AB80" s="6"/>
      <c r="AC80" s="677"/>
      <c r="AD80" s="677"/>
      <c r="AE80" s="677"/>
      <c r="AF80" s="677"/>
      <c r="AG80" s="669">
        <f t="shared" si="68"/>
        <v>-74700</v>
      </c>
      <c r="AH80" s="677"/>
      <c r="AI80" s="677"/>
      <c r="AJ80" s="678"/>
      <c r="AL80" s="683" t="str">
        <f t="shared" si="66"/>
        <v>10p, high£</v>
      </c>
      <c r="AM80" s="679"/>
      <c r="AN80" s="677"/>
      <c r="AO80" s="677"/>
      <c r="AP80" s="677"/>
      <c r="AQ80" s="677"/>
      <c r="AR80" s="677"/>
      <c r="AS80" s="669">
        <f t="shared" si="69"/>
        <v>-81600</v>
      </c>
      <c r="AT80" s="677"/>
      <c r="AU80" s="677"/>
      <c r="AV80" s="678"/>
    </row>
    <row r="81" spans="1:48" x14ac:dyDescent="0.25">
      <c r="A81" s="181" t="str">
        <f t="shared" si="70"/>
        <v>500kW, low lease, no grant</v>
      </c>
      <c r="B81" s="182" t="str">
        <f t="shared" si="67"/>
        <v>12p, low£</v>
      </c>
      <c r="C81" s="49" t="str">
        <f t="shared" si="71"/>
        <v>500kW, 
£500/acre (no grant)</v>
      </c>
      <c r="D81" s="39" t="str">
        <f t="shared" si="67"/>
        <v>12p/kWh, favourable  capex</v>
      </c>
      <c r="E81" s="59">
        <f>'Cash Flow Model'!H74</f>
        <v>5.9530968582685695E-2</v>
      </c>
      <c r="F81" s="59"/>
      <c r="G81" s="59"/>
      <c r="H81" s="85">
        <f>ROUND('Cash Flow Model'!H90,-2)</f>
        <v>11500</v>
      </c>
      <c r="I81" s="84">
        <f>'Cash Flow Model'!H105</f>
        <v>0</v>
      </c>
      <c r="J81" s="98">
        <f>'Cash Flow Model'!H120</f>
        <v>1.8750000000000006E-2</v>
      </c>
      <c r="K81" s="84">
        <f>'Cash Flow Model'!H167</f>
        <v>842.32500000000005</v>
      </c>
      <c r="L81" s="109">
        <f>'Cash Flow Model'!H137</f>
        <v>31676.908895999994</v>
      </c>
      <c r="M81" s="116">
        <f>'Cash Flow Model'!H152</f>
        <v>258.54480000000001</v>
      </c>
      <c r="N81" s="109">
        <f>ROUND(($M81*'Global assumptions'!D20*10)-$L81,-2)</f>
        <v>4600</v>
      </c>
      <c r="O81" s="118"/>
      <c r="P81" s="19" t="str">
        <f t="shared" si="59"/>
        <v>300kW, high lease, no export. 12p, high£, grid+</v>
      </c>
      <c r="Q81" s="174">
        <f t="shared" si="60"/>
        <v>15300</v>
      </c>
      <c r="R81" s="174">
        <f t="shared" si="61"/>
        <v>6000</v>
      </c>
      <c r="S81" s="175">
        <f t="shared" si="62"/>
        <v>4600</v>
      </c>
      <c r="T81" s="187">
        <f t="shared" si="63"/>
        <v>1700</v>
      </c>
      <c r="U81" s="188">
        <f t="shared" si="64"/>
        <v>0.12175086785703271</v>
      </c>
      <c r="W81" s="85">
        <f>'Cash Flow Model'!H182</f>
        <v>112300</v>
      </c>
      <c r="X81" s="85">
        <f>'Cash Flow Model'!H197</f>
        <v>107800</v>
      </c>
      <c r="Y81" s="666"/>
      <c r="Z81" s="686" t="str">
        <f t="shared" si="65"/>
        <v>12p, low£</v>
      </c>
      <c r="AA81" s="13"/>
      <c r="AB81" s="6"/>
      <c r="AC81" s="677"/>
      <c r="AD81" s="677"/>
      <c r="AE81" s="677"/>
      <c r="AF81" s="677"/>
      <c r="AG81" s="669">
        <f t="shared" si="68"/>
        <v>112300</v>
      </c>
      <c r="AH81" s="677"/>
      <c r="AI81" s="677"/>
      <c r="AJ81" s="678"/>
      <c r="AL81" s="683" t="str">
        <f t="shared" si="66"/>
        <v>12p, low£</v>
      </c>
      <c r="AM81" s="679"/>
      <c r="AN81" s="677"/>
      <c r="AO81" s="677"/>
      <c r="AP81" s="677"/>
      <c r="AQ81" s="677"/>
      <c r="AR81" s="677"/>
      <c r="AS81" s="669">
        <f t="shared" si="69"/>
        <v>107800</v>
      </c>
      <c r="AT81" s="677"/>
      <c r="AU81" s="677"/>
      <c r="AV81" s="678"/>
    </row>
    <row r="82" spans="1:48" x14ac:dyDescent="0.25">
      <c r="A82" s="181" t="str">
        <f t="shared" si="70"/>
        <v>500kW, low lease, no grant</v>
      </c>
      <c r="B82" s="182" t="str">
        <f t="shared" si="67"/>
        <v>12p, low£</v>
      </c>
      <c r="C82" s="49" t="str">
        <f t="shared" si="71"/>
        <v>500kW, 
£500/acre (no grant)</v>
      </c>
      <c r="D82" s="39" t="str">
        <f t="shared" si="67"/>
        <v>12p/kWh, high capex</v>
      </c>
      <c r="E82" s="59">
        <f>'Cash Flow Model'!H75</f>
        <v>3.8716852783294176E-2</v>
      </c>
      <c r="F82" s="59"/>
      <c r="G82" s="59"/>
      <c r="H82" s="85">
        <f>ROUND('Cash Flow Model'!H91,-2)</f>
        <v>11500</v>
      </c>
      <c r="I82" s="84">
        <f>'Cash Flow Model'!H106</f>
        <v>0</v>
      </c>
      <c r="J82" s="98">
        <f>'Cash Flow Model'!H121</f>
        <v>1.8750000000000006E-2</v>
      </c>
      <c r="K82" s="84">
        <f>'Cash Flow Model'!H168</f>
        <v>842.32500000000005</v>
      </c>
      <c r="L82" s="109">
        <f>'Cash Flow Model'!H138</f>
        <v>31676.908895999994</v>
      </c>
      <c r="M82" s="116">
        <f>'Cash Flow Model'!H153</f>
        <v>258.54480000000001</v>
      </c>
      <c r="N82" s="109">
        <f>ROUND(($M82*'Global assumptions'!D20*10)-$L82,-2)</f>
        <v>4600</v>
      </c>
      <c r="O82" s="118"/>
      <c r="P82" s="13"/>
      <c r="Q82" s="172"/>
      <c r="R82" s="172"/>
      <c r="S82" s="173"/>
      <c r="T82" s="186"/>
      <c r="U82" s="188"/>
      <c r="W82" s="85">
        <f>'Cash Flow Model'!H183</f>
        <v>20000</v>
      </c>
      <c r="X82" s="85">
        <f>'Cash Flow Model'!H198</f>
        <v>13100</v>
      </c>
      <c r="Y82" s="666"/>
      <c r="Z82" s="686" t="str">
        <f t="shared" si="65"/>
        <v>12p, low£</v>
      </c>
      <c r="AA82" s="13"/>
      <c r="AB82" s="6"/>
      <c r="AC82" s="677"/>
      <c r="AD82" s="677"/>
      <c r="AE82" s="677"/>
      <c r="AF82" s="677"/>
      <c r="AG82" s="669">
        <f t="shared" si="68"/>
        <v>20000</v>
      </c>
      <c r="AH82" s="677"/>
      <c r="AI82" s="677"/>
      <c r="AJ82" s="678"/>
      <c r="AL82" s="683" t="str">
        <f t="shared" si="66"/>
        <v>12p, low£</v>
      </c>
      <c r="AM82" s="679"/>
      <c r="AN82" s="677"/>
      <c r="AO82" s="677"/>
      <c r="AP82" s="677"/>
      <c r="AQ82" s="677"/>
      <c r="AR82" s="677"/>
      <c r="AS82" s="669">
        <f t="shared" si="69"/>
        <v>13100</v>
      </c>
      <c r="AT82" s="677"/>
      <c r="AU82" s="677"/>
      <c r="AV82" s="678"/>
    </row>
    <row r="83" spans="1:48" x14ac:dyDescent="0.25">
      <c r="A83" s="181" t="str">
        <f t="shared" si="70"/>
        <v>500kW, low lease, no grant</v>
      </c>
      <c r="B83" s="182" t="str">
        <f t="shared" si="67"/>
        <v>9p, mid£, grid+</v>
      </c>
      <c r="C83" s="49" t="str">
        <f t="shared" si="71"/>
        <v>500kW, 
£500/acre (no grant)</v>
      </c>
      <c r="D83" s="39" t="str">
        <f t="shared" si="67"/>
        <v>9p/kWh, mid capex, high grid</v>
      </c>
      <c r="E83" s="59">
        <f>'Cash Flow Model'!H76</f>
        <v>1.6318613832181139E-2</v>
      </c>
      <c r="F83" s="59"/>
      <c r="G83" s="59"/>
      <c r="H83" s="85">
        <f>ROUND('Cash Flow Model'!H92,-2)</f>
        <v>5600</v>
      </c>
      <c r="I83" s="84">
        <f>'Cash Flow Model'!H107</f>
        <v>0</v>
      </c>
      <c r="J83" s="98">
        <f>'Cash Flow Model'!H122</f>
        <v>1.8750000000000006E-2</v>
      </c>
      <c r="K83" s="84">
        <f>'Cash Flow Model'!H169</f>
        <v>842.32500000000005</v>
      </c>
      <c r="L83" s="109">
        <f>'Cash Flow Model'!H139</f>
        <v>23757.681671999995</v>
      </c>
      <c r="M83" s="116">
        <f>'Cash Flow Model'!H154</f>
        <v>258.54480000000001</v>
      </c>
      <c r="N83" s="109">
        <f>ROUND(($M83*'Global assumptions'!D20*10)-$L83,-2)</f>
        <v>12500</v>
      </c>
      <c r="O83" s="118"/>
      <c r="P83" s="17" t="str">
        <f t="shared" ref="P83:P94" si="72">A77&amp;". "&amp;B77</f>
        <v>500kW, low lease, no grant. 9p, low£</v>
      </c>
      <c r="Q83" s="170">
        <f t="shared" ref="Q83:Q94" si="73">ROUND(H77,-2)</f>
        <v>5600</v>
      </c>
      <c r="R83" s="170">
        <f t="shared" ref="R83:R94" si="74">ROUND(I77,-2)</f>
        <v>0</v>
      </c>
      <c r="S83" s="171">
        <f t="shared" ref="S83:S94" si="75">N77</f>
        <v>12500</v>
      </c>
      <c r="T83" s="185">
        <f t="shared" ref="T83:T94" si="76">ROUND(K77,-2)</f>
        <v>800</v>
      </c>
      <c r="U83" s="188">
        <f t="shared" ref="U83:U94" si="77">E77</f>
        <v>2.7860682236890311E-2</v>
      </c>
      <c r="W83" s="85">
        <f>'Cash Flow Model'!H184</f>
        <v>-85900</v>
      </c>
      <c r="X83" s="85">
        <f>'Cash Flow Model'!H199</f>
        <v>-92000</v>
      </c>
      <c r="Y83" s="666"/>
      <c r="Z83" s="686" t="str">
        <f t="shared" si="65"/>
        <v>9p, mid£, grid+</v>
      </c>
      <c r="AA83" s="13"/>
      <c r="AB83" s="6"/>
      <c r="AC83" s="677"/>
      <c r="AD83" s="677"/>
      <c r="AE83" s="677"/>
      <c r="AF83" s="677"/>
      <c r="AG83" s="669">
        <f t="shared" si="68"/>
        <v>-85900</v>
      </c>
      <c r="AH83" s="677"/>
      <c r="AI83" s="677"/>
      <c r="AJ83" s="678"/>
      <c r="AL83" s="683" t="str">
        <f t="shared" si="66"/>
        <v>9p, mid£, grid+</v>
      </c>
      <c r="AM83" s="679"/>
      <c r="AN83" s="677"/>
      <c r="AO83" s="677"/>
      <c r="AP83" s="677"/>
      <c r="AQ83" s="677"/>
      <c r="AR83" s="677"/>
      <c r="AS83" s="669">
        <f t="shared" si="69"/>
        <v>-92000</v>
      </c>
      <c r="AT83" s="677"/>
      <c r="AU83" s="677"/>
      <c r="AV83" s="678"/>
    </row>
    <row r="84" spans="1:48" x14ac:dyDescent="0.25">
      <c r="A84" s="181" t="str">
        <f t="shared" si="70"/>
        <v>500kW, low lease, no grant</v>
      </c>
      <c r="B84" s="182" t="str">
        <f t="shared" si="67"/>
        <v>9p, high£, grid+</v>
      </c>
      <c r="C84" s="49" t="str">
        <f t="shared" si="71"/>
        <v>500kW, 
£500/acre (no grant)</v>
      </c>
      <c r="D84" s="39" t="str">
        <f t="shared" si="67"/>
        <v>9p/kWh, high capex, high grid</v>
      </c>
      <c r="E84" s="59">
        <f>'Cash Flow Model'!H77</f>
        <v>6.8514514747310962E-3</v>
      </c>
      <c r="F84" s="59"/>
      <c r="G84" s="59"/>
      <c r="H84" s="85">
        <f>ROUND('Cash Flow Model'!H93,-2)</f>
        <v>5600</v>
      </c>
      <c r="I84" s="84">
        <f>'Cash Flow Model'!H108</f>
        <v>0</v>
      </c>
      <c r="J84" s="98">
        <f>'Cash Flow Model'!H123</f>
        <v>1.8750000000000006E-2</v>
      </c>
      <c r="K84" s="84">
        <f>'Cash Flow Model'!H170</f>
        <v>842.32500000000005</v>
      </c>
      <c r="L84" s="109">
        <f>'Cash Flow Model'!H140</f>
        <v>23757.681671999995</v>
      </c>
      <c r="M84" s="116">
        <f>'Cash Flow Model'!H155</f>
        <v>258.54480000000001</v>
      </c>
      <c r="N84" s="109">
        <f>ROUND(($M84*'Global assumptions'!D20*10)-$L84,-2)</f>
        <v>12500</v>
      </c>
      <c r="O84" s="118"/>
      <c r="P84" s="13" t="str">
        <f t="shared" si="72"/>
        <v>500kW, low lease, no grant. 9p, low£</v>
      </c>
      <c r="Q84" s="172">
        <f t="shared" si="73"/>
        <v>5600</v>
      </c>
      <c r="R84" s="172">
        <f t="shared" si="74"/>
        <v>0</v>
      </c>
      <c r="S84" s="173">
        <f t="shared" si="75"/>
        <v>12500</v>
      </c>
      <c r="T84" s="186">
        <f t="shared" si="76"/>
        <v>800</v>
      </c>
      <c r="U84" s="188">
        <f t="shared" si="77"/>
        <v>9.9751859692134293E-3</v>
      </c>
      <c r="W84" s="85">
        <f>'Cash Flow Model'!H185</f>
        <v>-141400</v>
      </c>
      <c r="X84" s="85">
        <f>'Cash Flow Model'!H200</f>
        <v>-148800</v>
      </c>
      <c r="Y84" s="666"/>
      <c r="Z84" s="686" t="str">
        <f t="shared" si="65"/>
        <v>9p, high£, grid+</v>
      </c>
      <c r="AA84" s="13"/>
      <c r="AB84" s="6"/>
      <c r="AC84" s="677"/>
      <c r="AD84" s="677"/>
      <c r="AE84" s="677"/>
      <c r="AF84" s="677"/>
      <c r="AG84" s="669">
        <f t="shared" si="68"/>
        <v>-141400</v>
      </c>
      <c r="AH84" s="677"/>
      <c r="AI84" s="677"/>
      <c r="AJ84" s="678"/>
      <c r="AL84" s="683" t="str">
        <f t="shared" si="66"/>
        <v>9p, high£, grid+</v>
      </c>
      <c r="AM84" s="679"/>
      <c r="AN84" s="677"/>
      <c r="AO84" s="677"/>
      <c r="AP84" s="677"/>
      <c r="AQ84" s="677"/>
      <c r="AR84" s="677"/>
      <c r="AS84" s="669">
        <f t="shared" si="69"/>
        <v>-148800</v>
      </c>
      <c r="AT84" s="677"/>
      <c r="AU84" s="677"/>
      <c r="AV84" s="678"/>
    </row>
    <row r="85" spans="1:48" x14ac:dyDescent="0.25">
      <c r="A85" s="181" t="str">
        <f t="shared" si="70"/>
        <v>500kW, low lease, no grant</v>
      </c>
      <c r="B85" s="182" t="str">
        <f t="shared" si="67"/>
        <v>10p, mid£, grid+</v>
      </c>
      <c r="C85" s="49" t="str">
        <f t="shared" si="71"/>
        <v>500kW, 
£500/acre (no grant)</v>
      </c>
      <c r="D85" s="39" t="str">
        <f t="shared" si="67"/>
        <v>10p/kWh, mid capex, high grid</v>
      </c>
      <c r="E85" s="59">
        <f>'Cash Flow Model'!H78</f>
        <v>2.6912672519812553E-2</v>
      </c>
      <c r="F85" s="59"/>
      <c r="G85" s="59"/>
      <c r="H85" s="85">
        <f>ROUND('Cash Flow Model'!H94,-2)</f>
        <v>7600</v>
      </c>
      <c r="I85" s="84">
        <f>'Cash Flow Model'!H109</f>
        <v>0</v>
      </c>
      <c r="J85" s="98">
        <f>'Cash Flow Model'!H124</f>
        <v>1.8750000000000006E-2</v>
      </c>
      <c r="K85" s="84">
        <f>'Cash Flow Model'!H171</f>
        <v>842.32500000000005</v>
      </c>
      <c r="L85" s="109">
        <f>'Cash Flow Model'!H141</f>
        <v>26397.424079999997</v>
      </c>
      <c r="M85" s="116">
        <f>'Cash Flow Model'!H156</f>
        <v>258.54480000000001</v>
      </c>
      <c r="N85" s="109">
        <f>ROUND(($M85*'Global assumptions'!D20*10)-$L85,-2)</f>
        <v>9900</v>
      </c>
      <c r="O85" s="118"/>
      <c r="P85" s="13" t="str">
        <f t="shared" si="72"/>
        <v>500kW, low lease, no grant. 10p, low£</v>
      </c>
      <c r="Q85" s="172">
        <f t="shared" si="73"/>
        <v>7600</v>
      </c>
      <c r="R85" s="172">
        <f t="shared" si="74"/>
        <v>0</v>
      </c>
      <c r="S85" s="173">
        <f t="shared" si="75"/>
        <v>9900</v>
      </c>
      <c r="T85" s="186">
        <f t="shared" si="76"/>
        <v>800</v>
      </c>
      <c r="U85" s="188">
        <f t="shared" si="77"/>
        <v>3.9098340970497025E-2</v>
      </c>
      <c r="W85" s="85">
        <f>'Cash Flow Model'!H186</f>
        <v>-38600</v>
      </c>
      <c r="X85" s="85">
        <f>'Cash Flow Model'!H201</f>
        <v>-44600</v>
      </c>
      <c r="Y85" s="666"/>
      <c r="Z85" s="686" t="str">
        <f t="shared" si="65"/>
        <v>10p, mid£, grid+</v>
      </c>
      <c r="AA85" s="13"/>
      <c r="AB85" s="6"/>
      <c r="AC85" s="677"/>
      <c r="AD85" s="677"/>
      <c r="AE85" s="677"/>
      <c r="AF85" s="677"/>
      <c r="AG85" s="669">
        <f t="shared" si="68"/>
        <v>-38600</v>
      </c>
      <c r="AH85" s="677"/>
      <c r="AI85" s="677"/>
      <c r="AJ85" s="678"/>
      <c r="AL85" s="683" t="str">
        <f t="shared" si="66"/>
        <v>10p, mid£, grid+</v>
      </c>
      <c r="AM85" s="679"/>
      <c r="AN85" s="677"/>
      <c r="AO85" s="677"/>
      <c r="AP85" s="677"/>
      <c r="AQ85" s="677"/>
      <c r="AR85" s="677"/>
      <c r="AS85" s="669">
        <f t="shared" si="69"/>
        <v>-44600</v>
      </c>
      <c r="AT85" s="677"/>
      <c r="AU85" s="677"/>
      <c r="AV85" s="678"/>
    </row>
    <row r="86" spans="1:48" x14ac:dyDescent="0.25">
      <c r="A86" s="181" t="str">
        <f t="shared" si="70"/>
        <v>500kW, low lease, no grant</v>
      </c>
      <c r="B86" s="182" t="str">
        <f t="shared" si="67"/>
        <v>10p, high£, grid+</v>
      </c>
      <c r="C86" s="49" t="str">
        <f t="shared" si="71"/>
        <v>500kW, 
£500/acre (no grant)</v>
      </c>
      <c r="D86" s="39" t="str">
        <f t="shared" si="67"/>
        <v>10p/kWh, high capex, high grid</v>
      </c>
      <c r="E86" s="59">
        <f>'Cash Flow Model'!H79</f>
        <v>1.6955701726262706E-2</v>
      </c>
      <c r="F86" s="59"/>
      <c r="G86" s="59"/>
      <c r="H86" s="85">
        <f>ROUND('Cash Flow Model'!H95,-2)</f>
        <v>7600</v>
      </c>
      <c r="I86" s="84">
        <f>'Cash Flow Model'!H110</f>
        <v>0</v>
      </c>
      <c r="J86" s="98">
        <f>'Cash Flow Model'!H125</f>
        <v>1.8750000000000006E-2</v>
      </c>
      <c r="K86" s="84">
        <f>'Cash Flow Model'!H172</f>
        <v>842.32500000000005</v>
      </c>
      <c r="L86" s="109">
        <f>'Cash Flow Model'!H142</f>
        <v>26397.424079999997</v>
      </c>
      <c r="M86" s="116">
        <f>'Cash Flow Model'!H157</f>
        <v>258.54480000000001</v>
      </c>
      <c r="N86" s="109">
        <f>ROUND(($M86*'Global assumptions'!D20*10)-$L86,-2)</f>
        <v>9900</v>
      </c>
      <c r="O86" s="118"/>
      <c r="P86" s="13" t="str">
        <f t="shared" si="72"/>
        <v>500kW, low lease, no grant. 10p, high£</v>
      </c>
      <c r="Q86" s="172">
        <f t="shared" si="73"/>
        <v>7600</v>
      </c>
      <c r="R86" s="172">
        <f t="shared" si="74"/>
        <v>0</v>
      </c>
      <c r="S86" s="173">
        <f t="shared" si="75"/>
        <v>9900</v>
      </c>
      <c r="T86" s="186">
        <f t="shared" si="76"/>
        <v>800</v>
      </c>
      <c r="U86" s="188">
        <f t="shared" si="77"/>
        <v>2.0237333529373513E-2</v>
      </c>
      <c r="W86" s="85">
        <f>'Cash Flow Model'!H187</f>
        <v>-94000</v>
      </c>
      <c r="X86" s="85">
        <f>'Cash Flow Model'!H202</f>
        <v>-101400</v>
      </c>
      <c r="Y86" s="666"/>
      <c r="Z86" s="686" t="str">
        <f t="shared" si="65"/>
        <v>10p, high£, grid+</v>
      </c>
      <c r="AA86" s="13"/>
      <c r="AB86" s="6"/>
      <c r="AC86" s="677"/>
      <c r="AD86" s="677"/>
      <c r="AE86" s="677"/>
      <c r="AF86" s="677"/>
      <c r="AG86" s="669">
        <f t="shared" si="68"/>
        <v>-94000</v>
      </c>
      <c r="AH86" s="677"/>
      <c r="AI86" s="677"/>
      <c r="AJ86" s="678"/>
      <c r="AL86" s="683" t="str">
        <f t="shared" si="66"/>
        <v>10p, high£, grid+</v>
      </c>
      <c r="AM86" s="679"/>
      <c r="AN86" s="677"/>
      <c r="AO86" s="677"/>
      <c r="AP86" s="677"/>
      <c r="AQ86" s="677"/>
      <c r="AR86" s="677"/>
      <c r="AS86" s="669">
        <f t="shared" si="69"/>
        <v>-101400</v>
      </c>
      <c r="AT86" s="677"/>
      <c r="AU86" s="677"/>
      <c r="AV86" s="678"/>
    </row>
    <row r="87" spans="1:48" x14ac:dyDescent="0.25">
      <c r="A87" s="181" t="str">
        <f t="shared" si="70"/>
        <v>500kW, low lease, no grant</v>
      </c>
      <c r="B87" s="182" t="str">
        <f t="shared" si="67"/>
        <v>12p, mid£, grid+</v>
      </c>
      <c r="C87" s="49" t="str">
        <f t="shared" si="71"/>
        <v>500kW, 
£500/acre (no grant)</v>
      </c>
      <c r="D87" s="39" t="str">
        <f t="shared" si="67"/>
        <v>12p/kWh, mid capex, high grid</v>
      </c>
      <c r="E87" s="59">
        <f>'Cash Flow Model'!H80</f>
        <v>4.6054356400303309E-2</v>
      </c>
      <c r="F87" s="59"/>
      <c r="G87" s="59"/>
      <c r="H87" s="85">
        <f>ROUND('Cash Flow Model'!H96,-2)</f>
        <v>11500</v>
      </c>
      <c r="I87" s="84">
        <f>'Cash Flow Model'!H111</f>
        <v>0</v>
      </c>
      <c r="J87" s="98">
        <f>'Cash Flow Model'!H126</f>
        <v>1.8750000000000006E-2</v>
      </c>
      <c r="K87" s="84">
        <f>'Cash Flow Model'!H173</f>
        <v>842.32500000000005</v>
      </c>
      <c r="L87" s="109">
        <f>'Cash Flow Model'!H143</f>
        <v>31676.908895999994</v>
      </c>
      <c r="M87" s="116">
        <f>'Cash Flow Model'!H158</f>
        <v>258.54480000000001</v>
      </c>
      <c r="N87" s="109">
        <f>ROUND(($M87*'Global assumptions'!D20*10)-$L87,-2)</f>
        <v>4600</v>
      </c>
      <c r="O87" s="118"/>
      <c r="P87" s="13" t="str">
        <f t="shared" si="72"/>
        <v>500kW, low lease, no grant. 12p, low£</v>
      </c>
      <c r="Q87" s="172">
        <f t="shared" si="73"/>
        <v>11500</v>
      </c>
      <c r="R87" s="172">
        <f t="shared" si="74"/>
        <v>0</v>
      </c>
      <c r="S87" s="173">
        <f t="shared" si="75"/>
        <v>4600</v>
      </c>
      <c r="T87" s="186">
        <f t="shared" si="76"/>
        <v>800</v>
      </c>
      <c r="U87" s="188">
        <f t="shared" si="77"/>
        <v>5.9530968582685695E-2</v>
      </c>
      <c r="W87" s="85">
        <f>'Cash Flow Model'!H188</f>
        <v>56100</v>
      </c>
      <c r="X87" s="85">
        <f>'Cash Flow Model'!H203</f>
        <v>50100</v>
      </c>
      <c r="Y87" s="666"/>
      <c r="Z87" s="686" t="str">
        <f t="shared" si="65"/>
        <v>12p, mid£, grid+</v>
      </c>
      <c r="AA87" s="13"/>
      <c r="AB87" s="6"/>
      <c r="AC87" s="677"/>
      <c r="AD87" s="677"/>
      <c r="AE87" s="677"/>
      <c r="AF87" s="677"/>
      <c r="AG87" s="669">
        <f t="shared" si="68"/>
        <v>56100</v>
      </c>
      <c r="AH87" s="677"/>
      <c r="AI87" s="677"/>
      <c r="AJ87" s="678"/>
      <c r="AL87" s="683" t="str">
        <f t="shared" si="66"/>
        <v>12p, mid£, grid+</v>
      </c>
      <c r="AM87" s="679"/>
      <c r="AN87" s="677"/>
      <c r="AO87" s="677"/>
      <c r="AP87" s="677"/>
      <c r="AQ87" s="677"/>
      <c r="AR87" s="677"/>
      <c r="AS87" s="669">
        <f t="shared" si="69"/>
        <v>50100</v>
      </c>
      <c r="AT87" s="677"/>
      <c r="AU87" s="677"/>
      <c r="AV87" s="678"/>
    </row>
    <row r="88" spans="1:48" x14ac:dyDescent="0.25">
      <c r="A88" s="181" t="str">
        <f t="shared" si="70"/>
        <v>500kW, low lease, no grant</v>
      </c>
      <c r="B88" s="182" t="str">
        <f t="shared" si="67"/>
        <v>12p, high£, grid+</v>
      </c>
      <c r="C88" s="49" t="str">
        <f t="shared" si="71"/>
        <v>500kW, 
£500/acre (no grant)</v>
      </c>
      <c r="D88" s="39" t="str">
        <f t="shared" si="67"/>
        <v>12p/kWh, high capex, high grid</v>
      </c>
      <c r="E88" s="61">
        <f>'Cash Flow Model'!H81</f>
        <v>3.5121139224735476E-2</v>
      </c>
      <c r="F88" s="61"/>
      <c r="G88" s="61"/>
      <c r="H88" s="87">
        <f>ROUND('Cash Flow Model'!H97,-2)</f>
        <v>11500</v>
      </c>
      <c r="I88" s="88">
        <f>'Cash Flow Model'!H112</f>
        <v>0</v>
      </c>
      <c r="J88" s="99">
        <f>'Cash Flow Model'!H127</f>
        <v>1.8750000000000006E-2</v>
      </c>
      <c r="K88" s="88">
        <f>'Cash Flow Model'!H174</f>
        <v>842.32500000000005</v>
      </c>
      <c r="L88" s="110">
        <f>'Cash Flow Model'!H144</f>
        <v>31676.908895999994</v>
      </c>
      <c r="M88" s="117">
        <f>'Cash Flow Model'!H159</f>
        <v>258.54480000000001</v>
      </c>
      <c r="N88" s="110">
        <f>ROUND(($M88*'Global assumptions'!D20*10)-$L88,-2)</f>
        <v>4600</v>
      </c>
      <c r="O88" s="118"/>
      <c r="P88" s="13" t="str">
        <f t="shared" si="72"/>
        <v>500kW, low lease, no grant. 12p, low£</v>
      </c>
      <c r="Q88" s="172">
        <f t="shared" si="73"/>
        <v>11500</v>
      </c>
      <c r="R88" s="172">
        <f t="shared" si="74"/>
        <v>0</v>
      </c>
      <c r="S88" s="173">
        <f t="shared" si="75"/>
        <v>4600</v>
      </c>
      <c r="T88" s="186">
        <f t="shared" si="76"/>
        <v>800</v>
      </c>
      <c r="U88" s="188">
        <f t="shared" si="77"/>
        <v>3.8716852783294176E-2</v>
      </c>
      <c r="W88" s="87">
        <f>'Cash Flow Model'!H189</f>
        <v>700</v>
      </c>
      <c r="X88" s="87">
        <f>'Cash Flow Model'!H204</f>
        <v>-6800</v>
      </c>
      <c r="Y88" s="666"/>
      <c r="Z88" s="686" t="str">
        <f t="shared" si="65"/>
        <v>12p, high£, grid+</v>
      </c>
      <c r="AA88" s="19"/>
      <c r="AB88" s="10"/>
      <c r="AC88" s="681"/>
      <c r="AD88" s="681"/>
      <c r="AE88" s="681"/>
      <c r="AF88" s="681"/>
      <c r="AG88" s="671">
        <f t="shared" si="68"/>
        <v>700</v>
      </c>
      <c r="AH88" s="681"/>
      <c r="AI88" s="681"/>
      <c r="AJ88" s="771"/>
      <c r="AL88" s="683" t="str">
        <f t="shared" si="66"/>
        <v>12p, high£, grid+</v>
      </c>
      <c r="AM88" s="679"/>
      <c r="AN88" s="677"/>
      <c r="AO88" s="677"/>
      <c r="AP88" s="677"/>
      <c r="AQ88" s="677"/>
      <c r="AR88" s="677"/>
      <c r="AS88" s="671">
        <f t="shared" si="69"/>
        <v>-6800</v>
      </c>
      <c r="AT88" s="677"/>
      <c r="AU88" s="677"/>
      <c r="AV88" s="678"/>
    </row>
    <row r="89" spans="1:48" x14ac:dyDescent="0.25">
      <c r="A89" s="179">
        <f>'Costs (by site)'!L4</f>
        <v>0</v>
      </c>
      <c r="B89" s="180" t="str">
        <f t="shared" ref="B89:D100" si="78">B77</f>
        <v>9p, low£</v>
      </c>
      <c r="C89" s="48" t="str">
        <f>'Costs (by site)'!L3</f>
        <v>Blank site 2</v>
      </c>
      <c r="D89" s="51" t="str">
        <f t="shared" si="78"/>
        <v>9p/kWh, favourable  capex</v>
      </c>
      <c r="E89" s="60" t="str">
        <f>'Cash Flow Model'!I70</f>
        <v>n/a</v>
      </c>
      <c r="F89" s="60"/>
      <c r="G89" s="60"/>
      <c r="H89" s="86">
        <f>ROUND('Cash Flow Model'!I86,-2)</f>
        <v>0</v>
      </c>
      <c r="I89" s="83">
        <f>'Cash Flow Model'!I101</f>
        <v>0</v>
      </c>
      <c r="J89" s="97">
        <f>'Cash Flow Model'!I116</f>
        <v>0</v>
      </c>
      <c r="K89" s="83">
        <f>'Cash Flow Model'!I163</f>
        <v>0</v>
      </c>
      <c r="L89" s="103">
        <f>'Cash Flow Model'!I133</f>
        <v>0</v>
      </c>
      <c r="M89" s="115">
        <f>'Cash Flow Model'!I148</f>
        <v>0</v>
      </c>
      <c r="N89" s="103">
        <f>ROUND(($M89*'Global assumptions'!D20*10)-$L89,-2)</f>
        <v>0</v>
      </c>
      <c r="O89" s="118"/>
      <c r="P89" s="13" t="str">
        <f t="shared" si="72"/>
        <v>500kW, low lease, no grant. 9p, mid£, grid+</v>
      </c>
      <c r="Q89" s="172">
        <f t="shared" si="73"/>
        <v>5600</v>
      </c>
      <c r="R89" s="172">
        <f t="shared" si="74"/>
        <v>0</v>
      </c>
      <c r="S89" s="173">
        <f t="shared" si="75"/>
        <v>12500</v>
      </c>
      <c r="T89" s="186">
        <f t="shared" si="76"/>
        <v>800</v>
      </c>
      <c r="U89" s="188">
        <f t="shared" si="77"/>
        <v>1.6318613832181139E-2</v>
      </c>
      <c r="W89" s="86">
        <f>'Cash Flow Model'!I178</f>
        <v>0</v>
      </c>
      <c r="X89" s="86">
        <f>'Cash Flow Model'!I193</f>
        <v>0</v>
      </c>
      <c r="Y89" s="666"/>
      <c r="Z89" s="686" t="str">
        <f t="shared" si="65"/>
        <v>9p, low£</v>
      </c>
      <c r="AA89" s="13"/>
      <c r="AB89" s="6"/>
      <c r="AC89" s="677"/>
      <c r="AD89" s="677"/>
      <c r="AE89" s="677"/>
      <c r="AF89" s="677"/>
      <c r="AG89" s="677"/>
      <c r="AH89" s="669">
        <f t="shared" ref="AH89:AH100" si="79">W89</f>
        <v>0</v>
      </c>
      <c r="AI89" s="677"/>
      <c r="AJ89" s="678"/>
      <c r="AL89" s="683" t="str">
        <f t="shared" si="66"/>
        <v>9p, low£</v>
      </c>
      <c r="AM89" s="679"/>
      <c r="AN89" s="677"/>
      <c r="AO89" s="677"/>
      <c r="AP89" s="677"/>
      <c r="AQ89" s="677"/>
      <c r="AR89" s="677"/>
      <c r="AS89" s="677"/>
      <c r="AT89" s="670">
        <f t="shared" ref="AT89:AT100" si="80">X89</f>
        <v>0</v>
      </c>
      <c r="AU89" s="677"/>
      <c r="AV89" s="678"/>
    </row>
    <row r="90" spans="1:48" x14ac:dyDescent="0.25">
      <c r="A90" s="181">
        <f>A89</f>
        <v>0</v>
      </c>
      <c r="B90" s="182" t="str">
        <f t="shared" si="78"/>
        <v>9p, low£</v>
      </c>
      <c r="C90" s="49" t="str">
        <f>C89</f>
        <v>Blank site 2</v>
      </c>
      <c r="D90" s="39" t="str">
        <f t="shared" si="78"/>
        <v>9p/kWh, high capex</v>
      </c>
      <c r="E90" s="59" t="str">
        <f>'Cash Flow Model'!I71</f>
        <v>n/a</v>
      </c>
      <c r="F90" s="59"/>
      <c r="G90" s="59"/>
      <c r="H90" s="85">
        <f>ROUND('Cash Flow Model'!I87,-2)</f>
        <v>0</v>
      </c>
      <c r="I90" s="84">
        <f>'Cash Flow Model'!I102</f>
        <v>0</v>
      </c>
      <c r="J90" s="98">
        <f>'Cash Flow Model'!I117</f>
        <v>0</v>
      </c>
      <c r="K90" s="84">
        <f>'Cash Flow Model'!I164</f>
        <v>0</v>
      </c>
      <c r="L90" s="109">
        <f>'Cash Flow Model'!I134</f>
        <v>0</v>
      </c>
      <c r="M90" s="116">
        <f>'Cash Flow Model'!I149</f>
        <v>0</v>
      </c>
      <c r="N90" s="109">
        <f>ROUND(($M90*'Global assumptions'!D20*10)-$L90,-2)</f>
        <v>0</v>
      </c>
      <c r="O90" s="118"/>
      <c r="P90" s="13" t="str">
        <f t="shared" si="72"/>
        <v>500kW, low lease, no grant. 9p, high£, grid+</v>
      </c>
      <c r="Q90" s="172">
        <f t="shared" si="73"/>
        <v>5600</v>
      </c>
      <c r="R90" s="172">
        <f t="shared" si="74"/>
        <v>0</v>
      </c>
      <c r="S90" s="173">
        <f t="shared" si="75"/>
        <v>12500</v>
      </c>
      <c r="T90" s="186">
        <f t="shared" si="76"/>
        <v>800</v>
      </c>
      <c r="U90" s="188">
        <f t="shared" si="77"/>
        <v>6.8514514747310962E-3</v>
      </c>
      <c r="W90" s="85">
        <f>'Cash Flow Model'!I179</f>
        <v>0</v>
      </c>
      <c r="X90" s="85">
        <f>'Cash Flow Model'!I194</f>
        <v>0</v>
      </c>
      <c r="Y90" s="666"/>
      <c r="Z90" s="686" t="str">
        <f t="shared" si="65"/>
        <v>9p, low£</v>
      </c>
      <c r="AA90" s="13"/>
      <c r="AB90" s="6"/>
      <c r="AC90" s="677"/>
      <c r="AD90" s="677"/>
      <c r="AE90" s="677"/>
      <c r="AF90" s="677"/>
      <c r="AG90" s="677"/>
      <c r="AH90" s="669">
        <f t="shared" si="79"/>
        <v>0</v>
      </c>
      <c r="AI90" s="677"/>
      <c r="AJ90" s="678"/>
      <c r="AL90" s="683" t="str">
        <f t="shared" si="66"/>
        <v>9p, low£</v>
      </c>
      <c r="AM90" s="679"/>
      <c r="AN90" s="677"/>
      <c r="AO90" s="677"/>
      <c r="AP90" s="677"/>
      <c r="AQ90" s="677"/>
      <c r="AR90" s="677"/>
      <c r="AS90" s="677"/>
      <c r="AT90" s="669">
        <f t="shared" si="80"/>
        <v>0</v>
      </c>
      <c r="AU90" s="677"/>
      <c r="AV90" s="678"/>
    </row>
    <row r="91" spans="1:48" x14ac:dyDescent="0.25">
      <c r="A91" s="181">
        <f>A89</f>
        <v>0</v>
      </c>
      <c r="B91" s="182" t="str">
        <f t="shared" si="78"/>
        <v>10p, low£</v>
      </c>
      <c r="C91" s="49" t="str">
        <f>C89</f>
        <v>Blank site 2</v>
      </c>
      <c r="D91" s="39" t="str">
        <f t="shared" si="78"/>
        <v>10p/kWh, favourable  capex</v>
      </c>
      <c r="E91" s="59" t="str">
        <f>'Cash Flow Model'!I72</f>
        <v>n/a</v>
      </c>
      <c r="F91" s="59"/>
      <c r="G91" s="59"/>
      <c r="H91" s="85">
        <f>ROUND('Cash Flow Model'!I88,-2)</f>
        <v>0</v>
      </c>
      <c r="I91" s="84">
        <f>'Cash Flow Model'!I103</f>
        <v>0</v>
      </c>
      <c r="J91" s="98">
        <f>'Cash Flow Model'!I118</f>
        <v>0</v>
      </c>
      <c r="K91" s="84">
        <f>'Cash Flow Model'!I165</f>
        <v>0</v>
      </c>
      <c r="L91" s="109">
        <f>'Cash Flow Model'!I135</f>
        <v>0</v>
      </c>
      <c r="M91" s="116">
        <f>'Cash Flow Model'!I150</f>
        <v>0</v>
      </c>
      <c r="N91" s="109">
        <f>ROUND(($M91*'Global assumptions'!D20*10)-$L91,-2)</f>
        <v>0</v>
      </c>
      <c r="O91" s="118"/>
      <c r="P91" s="13" t="str">
        <f t="shared" si="72"/>
        <v>500kW, low lease, no grant. 10p, mid£, grid+</v>
      </c>
      <c r="Q91" s="172">
        <f t="shared" si="73"/>
        <v>7600</v>
      </c>
      <c r="R91" s="172">
        <f t="shared" si="74"/>
        <v>0</v>
      </c>
      <c r="S91" s="173">
        <f t="shared" si="75"/>
        <v>9900</v>
      </c>
      <c r="T91" s="186">
        <f t="shared" si="76"/>
        <v>800</v>
      </c>
      <c r="U91" s="188">
        <f t="shared" si="77"/>
        <v>2.6912672519812553E-2</v>
      </c>
      <c r="W91" s="85">
        <f>'Cash Flow Model'!I180</f>
        <v>0</v>
      </c>
      <c r="X91" s="85">
        <f>'Cash Flow Model'!I195</f>
        <v>0</v>
      </c>
      <c r="Y91" s="666"/>
      <c r="Z91" s="686" t="str">
        <f t="shared" si="65"/>
        <v>10p, low£</v>
      </c>
      <c r="AA91" s="13"/>
      <c r="AB91" s="6"/>
      <c r="AC91" s="677"/>
      <c r="AD91" s="677"/>
      <c r="AE91" s="677"/>
      <c r="AF91" s="677"/>
      <c r="AG91" s="677"/>
      <c r="AH91" s="669">
        <f t="shared" si="79"/>
        <v>0</v>
      </c>
      <c r="AI91" s="677"/>
      <c r="AJ91" s="678"/>
      <c r="AL91" s="683" t="str">
        <f t="shared" si="66"/>
        <v>10p, low£</v>
      </c>
      <c r="AM91" s="679"/>
      <c r="AN91" s="677"/>
      <c r="AO91" s="677"/>
      <c r="AP91" s="677"/>
      <c r="AQ91" s="677"/>
      <c r="AR91" s="677"/>
      <c r="AS91" s="677"/>
      <c r="AT91" s="669">
        <f t="shared" si="80"/>
        <v>0</v>
      </c>
      <c r="AU91" s="677"/>
      <c r="AV91" s="678"/>
    </row>
    <row r="92" spans="1:48" x14ac:dyDescent="0.25">
      <c r="A92" s="181">
        <f t="shared" ref="A92:A100" si="81">A91</f>
        <v>0</v>
      </c>
      <c r="B92" s="182" t="str">
        <f t="shared" si="78"/>
        <v>10p, high£</v>
      </c>
      <c r="C92" s="49" t="str">
        <f t="shared" ref="C92:C100" si="82">C91</f>
        <v>Blank site 2</v>
      </c>
      <c r="D92" s="39" t="str">
        <f t="shared" si="78"/>
        <v>10p/kWh, high capex</v>
      </c>
      <c r="E92" s="59" t="str">
        <f>'Cash Flow Model'!I73</f>
        <v>n/a</v>
      </c>
      <c r="F92" s="59"/>
      <c r="G92" s="59"/>
      <c r="H92" s="85">
        <f>ROUND('Cash Flow Model'!I89,-2)</f>
        <v>0</v>
      </c>
      <c r="I92" s="84">
        <f>'Cash Flow Model'!I104</f>
        <v>0</v>
      </c>
      <c r="J92" s="98">
        <f>'Cash Flow Model'!I119</f>
        <v>0</v>
      </c>
      <c r="K92" s="84">
        <f>'Cash Flow Model'!I166</f>
        <v>0</v>
      </c>
      <c r="L92" s="109">
        <f>'Cash Flow Model'!I136</f>
        <v>0</v>
      </c>
      <c r="M92" s="116">
        <f>'Cash Flow Model'!I151</f>
        <v>0</v>
      </c>
      <c r="N92" s="109">
        <f>ROUND(($M92*'Global assumptions'!D20*10)-$L92,-2)</f>
        <v>0</v>
      </c>
      <c r="O92" s="118"/>
      <c r="P92" s="13" t="str">
        <f t="shared" si="72"/>
        <v>500kW, low lease, no grant. 10p, high£, grid+</v>
      </c>
      <c r="Q92" s="172">
        <f t="shared" si="73"/>
        <v>7600</v>
      </c>
      <c r="R92" s="172">
        <f t="shared" si="74"/>
        <v>0</v>
      </c>
      <c r="S92" s="173">
        <f t="shared" si="75"/>
        <v>9900</v>
      </c>
      <c r="T92" s="186">
        <f t="shared" si="76"/>
        <v>800</v>
      </c>
      <c r="U92" s="188">
        <f t="shared" si="77"/>
        <v>1.6955701726262706E-2</v>
      </c>
      <c r="W92" s="85">
        <f>'Cash Flow Model'!I181</f>
        <v>0</v>
      </c>
      <c r="X92" s="85">
        <f>'Cash Flow Model'!I196</f>
        <v>0</v>
      </c>
      <c r="Y92" s="666"/>
      <c r="Z92" s="686" t="str">
        <f t="shared" si="65"/>
        <v>10p, high£</v>
      </c>
      <c r="AA92" s="13"/>
      <c r="AB92" s="6"/>
      <c r="AC92" s="677"/>
      <c r="AD92" s="677"/>
      <c r="AE92" s="677"/>
      <c r="AF92" s="677"/>
      <c r="AG92" s="677"/>
      <c r="AH92" s="669">
        <f t="shared" si="79"/>
        <v>0</v>
      </c>
      <c r="AI92" s="677"/>
      <c r="AJ92" s="678"/>
      <c r="AL92" s="683" t="str">
        <f t="shared" si="66"/>
        <v>10p, high£</v>
      </c>
      <c r="AM92" s="679"/>
      <c r="AN92" s="677"/>
      <c r="AO92" s="677"/>
      <c r="AP92" s="677"/>
      <c r="AQ92" s="677"/>
      <c r="AR92" s="677"/>
      <c r="AS92" s="677"/>
      <c r="AT92" s="669">
        <f t="shared" si="80"/>
        <v>0</v>
      </c>
      <c r="AU92" s="677"/>
      <c r="AV92" s="678"/>
    </row>
    <row r="93" spans="1:48" x14ac:dyDescent="0.25">
      <c r="A93" s="181">
        <f t="shared" si="81"/>
        <v>0</v>
      </c>
      <c r="B93" s="182" t="str">
        <f t="shared" si="78"/>
        <v>12p, low£</v>
      </c>
      <c r="C93" s="49" t="str">
        <f t="shared" si="82"/>
        <v>Blank site 2</v>
      </c>
      <c r="D93" s="39" t="str">
        <f t="shared" si="78"/>
        <v>12p/kWh, favourable  capex</v>
      </c>
      <c r="E93" s="59" t="str">
        <f>'Cash Flow Model'!I74</f>
        <v>n/a</v>
      </c>
      <c r="F93" s="59"/>
      <c r="G93" s="59"/>
      <c r="H93" s="85">
        <f>ROUND('Cash Flow Model'!I90,-2)</f>
        <v>0</v>
      </c>
      <c r="I93" s="84">
        <f>'Cash Flow Model'!I105</f>
        <v>0</v>
      </c>
      <c r="J93" s="98">
        <f>'Cash Flow Model'!I120</f>
        <v>0</v>
      </c>
      <c r="K93" s="84">
        <f>'Cash Flow Model'!I167</f>
        <v>0</v>
      </c>
      <c r="L93" s="109">
        <f>'Cash Flow Model'!I137</f>
        <v>0</v>
      </c>
      <c r="M93" s="116">
        <f>'Cash Flow Model'!I152</f>
        <v>0</v>
      </c>
      <c r="N93" s="109">
        <f>ROUND(($M93*'Global assumptions'!D20*10)-$L93,-2)</f>
        <v>0</v>
      </c>
      <c r="O93" s="118"/>
      <c r="P93" s="13" t="str">
        <f t="shared" si="72"/>
        <v>500kW, low lease, no grant. 12p, mid£, grid+</v>
      </c>
      <c r="Q93" s="172">
        <f t="shared" si="73"/>
        <v>11500</v>
      </c>
      <c r="R93" s="172">
        <f t="shared" si="74"/>
        <v>0</v>
      </c>
      <c r="S93" s="173">
        <f t="shared" si="75"/>
        <v>4600</v>
      </c>
      <c r="T93" s="186">
        <f t="shared" si="76"/>
        <v>800</v>
      </c>
      <c r="U93" s="188">
        <f t="shared" si="77"/>
        <v>4.6054356400303309E-2</v>
      </c>
      <c r="W93" s="85">
        <f>'Cash Flow Model'!I182</f>
        <v>0</v>
      </c>
      <c r="X93" s="85">
        <f>'Cash Flow Model'!I197</f>
        <v>0</v>
      </c>
      <c r="Y93" s="666"/>
      <c r="Z93" s="686" t="str">
        <f t="shared" si="65"/>
        <v>12p, low£</v>
      </c>
      <c r="AA93" s="13"/>
      <c r="AB93" s="6"/>
      <c r="AC93" s="677"/>
      <c r="AD93" s="677"/>
      <c r="AE93" s="677"/>
      <c r="AF93" s="677"/>
      <c r="AG93" s="677"/>
      <c r="AH93" s="669">
        <f t="shared" si="79"/>
        <v>0</v>
      </c>
      <c r="AI93" s="677"/>
      <c r="AJ93" s="678"/>
      <c r="AL93" s="683" t="str">
        <f t="shared" si="66"/>
        <v>12p, low£</v>
      </c>
      <c r="AM93" s="679"/>
      <c r="AN93" s="677"/>
      <c r="AO93" s="677"/>
      <c r="AP93" s="677"/>
      <c r="AQ93" s="677"/>
      <c r="AR93" s="677"/>
      <c r="AS93" s="677"/>
      <c r="AT93" s="669">
        <f t="shared" si="80"/>
        <v>0</v>
      </c>
      <c r="AU93" s="677"/>
      <c r="AV93" s="678"/>
    </row>
    <row r="94" spans="1:48" x14ac:dyDescent="0.25">
      <c r="A94" s="181">
        <f t="shared" si="81"/>
        <v>0</v>
      </c>
      <c r="B94" s="182" t="str">
        <f t="shared" si="78"/>
        <v>12p, low£</v>
      </c>
      <c r="C94" s="49" t="str">
        <f t="shared" si="82"/>
        <v>Blank site 2</v>
      </c>
      <c r="D94" s="39" t="str">
        <f t="shared" si="78"/>
        <v>12p/kWh, high capex</v>
      </c>
      <c r="E94" s="59" t="str">
        <f>'Cash Flow Model'!I75</f>
        <v>n/a</v>
      </c>
      <c r="F94" s="59"/>
      <c r="G94" s="59"/>
      <c r="H94" s="85">
        <f>ROUND('Cash Flow Model'!I91,-2)</f>
        <v>0</v>
      </c>
      <c r="I94" s="84">
        <f>'Cash Flow Model'!I106</f>
        <v>0</v>
      </c>
      <c r="J94" s="98">
        <f>'Cash Flow Model'!I121</f>
        <v>0</v>
      </c>
      <c r="K94" s="84">
        <f>'Cash Flow Model'!I168</f>
        <v>0</v>
      </c>
      <c r="L94" s="109">
        <f>'Cash Flow Model'!I138</f>
        <v>0</v>
      </c>
      <c r="M94" s="116">
        <f>'Cash Flow Model'!I153</f>
        <v>0</v>
      </c>
      <c r="N94" s="109">
        <f>ROUND(($M94*'Global assumptions'!D20*10)-$L94,-2)</f>
        <v>0</v>
      </c>
      <c r="O94" s="118"/>
      <c r="P94" s="19" t="str">
        <f t="shared" si="72"/>
        <v>500kW, low lease, no grant. 12p, high£, grid+</v>
      </c>
      <c r="Q94" s="174">
        <f t="shared" si="73"/>
        <v>11500</v>
      </c>
      <c r="R94" s="174">
        <f t="shared" si="74"/>
        <v>0</v>
      </c>
      <c r="S94" s="175">
        <f t="shared" si="75"/>
        <v>4600</v>
      </c>
      <c r="T94" s="187">
        <f t="shared" si="76"/>
        <v>800</v>
      </c>
      <c r="U94" s="188">
        <f t="shared" si="77"/>
        <v>3.5121139224735476E-2</v>
      </c>
      <c r="W94" s="85">
        <f>'Cash Flow Model'!I183</f>
        <v>0</v>
      </c>
      <c r="X94" s="85">
        <f>'Cash Flow Model'!I198</f>
        <v>0</v>
      </c>
      <c r="Y94" s="666"/>
      <c r="Z94" s="686" t="str">
        <f t="shared" si="65"/>
        <v>12p, low£</v>
      </c>
      <c r="AA94" s="13"/>
      <c r="AB94" s="6"/>
      <c r="AC94" s="677"/>
      <c r="AD94" s="677"/>
      <c r="AE94" s="677"/>
      <c r="AF94" s="677"/>
      <c r="AG94" s="677"/>
      <c r="AH94" s="669">
        <f t="shared" si="79"/>
        <v>0</v>
      </c>
      <c r="AI94" s="677"/>
      <c r="AJ94" s="678"/>
      <c r="AL94" s="683" t="str">
        <f t="shared" si="66"/>
        <v>12p, low£</v>
      </c>
      <c r="AM94" s="679"/>
      <c r="AN94" s="677"/>
      <c r="AO94" s="677"/>
      <c r="AP94" s="677"/>
      <c r="AQ94" s="677"/>
      <c r="AR94" s="677"/>
      <c r="AS94" s="677"/>
      <c r="AT94" s="669">
        <f t="shared" si="80"/>
        <v>0</v>
      </c>
      <c r="AU94" s="677"/>
      <c r="AV94" s="678"/>
    </row>
    <row r="95" spans="1:48" x14ac:dyDescent="0.25">
      <c r="A95" s="181">
        <f t="shared" si="81"/>
        <v>0</v>
      </c>
      <c r="B95" s="182" t="str">
        <f t="shared" si="78"/>
        <v>9p, mid£, grid+</v>
      </c>
      <c r="C95" s="49" t="str">
        <f t="shared" si="82"/>
        <v>Blank site 2</v>
      </c>
      <c r="D95" s="39" t="str">
        <f t="shared" si="78"/>
        <v>9p/kWh, mid capex, high grid</v>
      </c>
      <c r="E95" s="59" t="str">
        <f>'Cash Flow Model'!I76</f>
        <v>n/a</v>
      </c>
      <c r="F95" s="59"/>
      <c r="G95" s="59"/>
      <c r="H95" s="85">
        <f>ROUND('Cash Flow Model'!I92,-2)</f>
        <v>0</v>
      </c>
      <c r="I95" s="84">
        <f>'Cash Flow Model'!I107</f>
        <v>0</v>
      </c>
      <c r="J95" s="98">
        <f>'Cash Flow Model'!I122</f>
        <v>0</v>
      </c>
      <c r="K95" s="84">
        <f>'Cash Flow Model'!I169</f>
        <v>0</v>
      </c>
      <c r="L95" s="109">
        <f>'Cash Flow Model'!I139</f>
        <v>0</v>
      </c>
      <c r="M95" s="116">
        <f>'Cash Flow Model'!I154</f>
        <v>0</v>
      </c>
      <c r="N95" s="109">
        <f>ROUND(($M95*'Global assumptions'!D20*10)-$L95,-2)</f>
        <v>0</v>
      </c>
      <c r="O95" s="118"/>
      <c r="P95" s="13"/>
      <c r="Q95" s="172"/>
      <c r="R95" s="172"/>
      <c r="S95" s="173"/>
      <c r="T95" s="186"/>
      <c r="U95" s="188"/>
      <c r="W95" s="85">
        <f>'Cash Flow Model'!I184</f>
        <v>0</v>
      </c>
      <c r="X95" s="85">
        <f>'Cash Flow Model'!I199</f>
        <v>0</v>
      </c>
      <c r="Y95" s="666"/>
      <c r="Z95" s="686" t="str">
        <f t="shared" si="65"/>
        <v>9p, mid£, grid+</v>
      </c>
      <c r="AA95" s="13"/>
      <c r="AB95" s="6"/>
      <c r="AC95" s="677"/>
      <c r="AD95" s="677"/>
      <c r="AE95" s="677"/>
      <c r="AF95" s="677"/>
      <c r="AG95" s="677"/>
      <c r="AH95" s="669">
        <f t="shared" si="79"/>
        <v>0</v>
      </c>
      <c r="AI95" s="677"/>
      <c r="AJ95" s="678"/>
      <c r="AL95" s="683" t="str">
        <f t="shared" si="66"/>
        <v>9p, mid£, grid+</v>
      </c>
      <c r="AM95" s="679"/>
      <c r="AN95" s="677"/>
      <c r="AO95" s="677"/>
      <c r="AP95" s="677"/>
      <c r="AQ95" s="677"/>
      <c r="AR95" s="677"/>
      <c r="AS95" s="677"/>
      <c r="AT95" s="669">
        <f t="shared" si="80"/>
        <v>0</v>
      </c>
      <c r="AU95" s="677"/>
      <c r="AV95" s="678"/>
    </row>
    <row r="96" spans="1:48" x14ac:dyDescent="0.25">
      <c r="A96" s="181">
        <f t="shared" si="81"/>
        <v>0</v>
      </c>
      <c r="B96" s="182" t="str">
        <f t="shared" si="78"/>
        <v>9p, high£, grid+</v>
      </c>
      <c r="C96" s="49" t="str">
        <f t="shared" si="82"/>
        <v>Blank site 2</v>
      </c>
      <c r="D96" s="39" t="str">
        <f t="shared" si="78"/>
        <v>9p/kWh, high capex, high grid</v>
      </c>
      <c r="E96" s="59" t="str">
        <f>'Cash Flow Model'!I77</f>
        <v>n/a</v>
      </c>
      <c r="F96" s="59"/>
      <c r="G96" s="59"/>
      <c r="H96" s="85">
        <f>ROUND('Cash Flow Model'!I93,-2)</f>
        <v>0</v>
      </c>
      <c r="I96" s="84">
        <f>'Cash Flow Model'!I108</f>
        <v>0</v>
      </c>
      <c r="J96" s="98">
        <f>'Cash Flow Model'!I123</f>
        <v>0</v>
      </c>
      <c r="K96" s="84">
        <f>'Cash Flow Model'!I170</f>
        <v>0</v>
      </c>
      <c r="L96" s="109">
        <f>'Cash Flow Model'!I140</f>
        <v>0</v>
      </c>
      <c r="M96" s="116">
        <f>'Cash Flow Model'!I155</f>
        <v>0</v>
      </c>
      <c r="N96" s="109">
        <f>ROUND(($M96*'Global assumptions'!D20*10)-$L96,-2)</f>
        <v>0</v>
      </c>
      <c r="O96" s="118"/>
      <c r="P96" s="17" t="str">
        <f t="shared" ref="P96:P107" si="83">A89&amp;". "&amp;B89</f>
        <v>0. 9p, low£</v>
      </c>
      <c r="Q96" s="170">
        <f t="shared" ref="Q96:Q107" si="84">ROUND(H89,-2)</f>
        <v>0</v>
      </c>
      <c r="R96" s="170">
        <f t="shared" ref="R96:R107" si="85">ROUND(I89,-2)</f>
        <v>0</v>
      </c>
      <c r="S96" s="171">
        <f t="shared" ref="S96:S107" si="86">N89</f>
        <v>0</v>
      </c>
      <c r="T96" s="185">
        <f t="shared" ref="T96:T107" si="87">ROUND(K89,-2)</f>
        <v>0</v>
      </c>
      <c r="U96" s="188" t="str">
        <f t="shared" ref="U96:U107" si="88">E89</f>
        <v>n/a</v>
      </c>
      <c r="W96" s="85">
        <f>'Cash Flow Model'!I185</f>
        <v>0</v>
      </c>
      <c r="X96" s="85">
        <f>'Cash Flow Model'!I200</f>
        <v>0</v>
      </c>
      <c r="Y96" s="666"/>
      <c r="Z96" s="686" t="str">
        <f t="shared" si="65"/>
        <v>9p, high£, grid+</v>
      </c>
      <c r="AA96" s="13"/>
      <c r="AB96" s="6"/>
      <c r="AC96" s="677"/>
      <c r="AD96" s="677"/>
      <c r="AE96" s="677"/>
      <c r="AF96" s="677"/>
      <c r="AG96" s="677"/>
      <c r="AH96" s="669">
        <f t="shared" si="79"/>
        <v>0</v>
      </c>
      <c r="AI96" s="677"/>
      <c r="AJ96" s="678"/>
      <c r="AL96" s="683" t="str">
        <f t="shared" si="66"/>
        <v>9p, high£, grid+</v>
      </c>
      <c r="AM96" s="679"/>
      <c r="AN96" s="677"/>
      <c r="AO96" s="677"/>
      <c r="AP96" s="677"/>
      <c r="AQ96" s="677"/>
      <c r="AR96" s="677"/>
      <c r="AS96" s="677"/>
      <c r="AT96" s="669">
        <f t="shared" si="80"/>
        <v>0</v>
      </c>
      <c r="AU96" s="677"/>
      <c r="AV96" s="678"/>
    </row>
    <row r="97" spans="1:48" x14ac:dyDescent="0.25">
      <c r="A97" s="181">
        <f t="shared" si="81"/>
        <v>0</v>
      </c>
      <c r="B97" s="182" t="str">
        <f t="shared" si="78"/>
        <v>10p, mid£, grid+</v>
      </c>
      <c r="C97" s="49" t="str">
        <f t="shared" si="82"/>
        <v>Blank site 2</v>
      </c>
      <c r="D97" s="39" t="str">
        <f t="shared" si="78"/>
        <v>10p/kWh, mid capex, high grid</v>
      </c>
      <c r="E97" s="59" t="str">
        <f>'Cash Flow Model'!I78</f>
        <v>n/a</v>
      </c>
      <c r="F97" s="59"/>
      <c r="G97" s="59"/>
      <c r="H97" s="85">
        <f>ROUND('Cash Flow Model'!I94,-2)</f>
        <v>0</v>
      </c>
      <c r="I97" s="84">
        <f>'Cash Flow Model'!I109</f>
        <v>0</v>
      </c>
      <c r="J97" s="98">
        <f>'Cash Flow Model'!I124</f>
        <v>0</v>
      </c>
      <c r="K97" s="84">
        <f>'Cash Flow Model'!I171</f>
        <v>0</v>
      </c>
      <c r="L97" s="109">
        <f>'Cash Flow Model'!I141</f>
        <v>0</v>
      </c>
      <c r="M97" s="116">
        <f>'Cash Flow Model'!I156</f>
        <v>0</v>
      </c>
      <c r="N97" s="109">
        <f>ROUND(($M97*'Global assumptions'!D20*10)-$L97,-2)</f>
        <v>0</v>
      </c>
      <c r="O97" s="118"/>
      <c r="P97" s="13" t="str">
        <f t="shared" si="83"/>
        <v>0. 9p, low£</v>
      </c>
      <c r="Q97" s="172">
        <f t="shared" si="84"/>
        <v>0</v>
      </c>
      <c r="R97" s="172">
        <f t="shared" si="85"/>
        <v>0</v>
      </c>
      <c r="S97" s="173">
        <f t="shared" si="86"/>
        <v>0</v>
      </c>
      <c r="T97" s="186">
        <f t="shared" si="87"/>
        <v>0</v>
      </c>
      <c r="U97" s="188" t="str">
        <f t="shared" si="88"/>
        <v>n/a</v>
      </c>
      <c r="W97" s="85">
        <f>'Cash Flow Model'!I186</f>
        <v>0</v>
      </c>
      <c r="X97" s="85">
        <f>'Cash Flow Model'!I201</f>
        <v>0</v>
      </c>
      <c r="Y97" s="666"/>
      <c r="Z97" s="686" t="str">
        <f t="shared" si="65"/>
        <v>10p, mid£, grid+</v>
      </c>
      <c r="AA97" s="13"/>
      <c r="AB97" s="6"/>
      <c r="AC97" s="677"/>
      <c r="AD97" s="677"/>
      <c r="AE97" s="677"/>
      <c r="AF97" s="677"/>
      <c r="AG97" s="677"/>
      <c r="AH97" s="669">
        <f t="shared" si="79"/>
        <v>0</v>
      </c>
      <c r="AI97" s="677"/>
      <c r="AJ97" s="678"/>
      <c r="AL97" s="683" t="str">
        <f t="shared" si="66"/>
        <v>10p, mid£, grid+</v>
      </c>
      <c r="AM97" s="679"/>
      <c r="AN97" s="677"/>
      <c r="AO97" s="677"/>
      <c r="AP97" s="677"/>
      <c r="AQ97" s="677"/>
      <c r="AR97" s="677"/>
      <c r="AS97" s="677"/>
      <c r="AT97" s="669">
        <f t="shared" si="80"/>
        <v>0</v>
      </c>
      <c r="AU97" s="677"/>
      <c r="AV97" s="678"/>
    </row>
    <row r="98" spans="1:48" x14ac:dyDescent="0.25">
      <c r="A98" s="181">
        <f t="shared" si="81"/>
        <v>0</v>
      </c>
      <c r="B98" s="182" t="str">
        <f t="shared" si="78"/>
        <v>10p, high£, grid+</v>
      </c>
      <c r="C98" s="49" t="str">
        <f t="shared" si="82"/>
        <v>Blank site 2</v>
      </c>
      <c r="D98" s="39" t="str">
        <f t="shared" si="78"/>
        <v>10p/kWh, high capex, high grid</v>
      </c>
      <c r="E98" s="59" t="str">
        <f>'Cash Flow Model'!I79</f>
        <v>n/a</v>
      </c>
      <c r="F98" s="59"/>
      <c r="G98" s="59"/>
      <c r="H98" s="85">
        <f>ROUND('Cash Flow Model'!I95,-2)</f>
        <v>0</v>
      </c>
      <c r="I98" s="84">
        <f>'Cash Flow Model'!I110</f>
        <v>0</v>
      </c>
      <c r="J98" s="98">
        <f>'Cash Flow Model'!I125</f>
        <v>0</v>
      </c>
      <c r="K98" s="84">
        <f>'Cash Flow Model'!I172</f>
        <v>0</v>
      </c>
      <c r="L98" s="109">
        <f>'Cash Flow Model'!I142</f>
        <v>0</v>
      </c>
      <c r="M98" s="116">
        <f>'Cash Flow Model'!I157</f>
        <v>0</v>
      </c>
      <c r="N98" s="109">
        <f>ROUND(($M98*'Global assumptions'!D20*10)-$L98,-2)</f>
        <v>0</v>
      </c>
      <c r="O98" s="118"/>
      <c r="P98" s="13" t="str">
        <f t="shared" si="83"/>
        <v>0. 10p, low£</v>
      </c>
      <c r="Q98" s="172">
        <f t="shared" si="84"/>
        <v>0</v>
      </c>
      <c r="R98" s="172">
        <f t="shared" si="85"/>
        <v>0</v>
      </c>
      <c r="S98" s="173">
        <f t="shared" si="86"/>
        <v>0</v>
      </c>
      <c r="T98" s="186">
        <f t="shared" si="87"/>
        <v>0</v>
      </c>
      <c r="U98" s="188" t="str">
        <f t="shared" si="88"/>
        <v>n/a</v>
      </c>
      <c r="W98" s="85">
        <f>'Cash Flow Model'!I187</f>
        <v>0</v>
      </c>
      <c r="X98" s="85">
        <f>'Cash Flow Model'!I202</f>
        <v>0</v>
      </c>
      <c r="Y98" s="666"/>
      <c r="Z98" s="686" t="str">
        <f t="shared" si="65"/>
        <v>10p, high£, grid+</v>
      </c>
      <c r="AA98" s="13"/>
      <c r="AB98" s="6"/>
      <c r="AC98" s="677"/>
      <c r="AD98" s="677"/>
      <c r="AE98" s="677"/>
      <c r="AF98" s="677"/>
      <c r="AG98" s="677"/>
      <c r="AH98" s="669">
        <f t="shared" si="79"/>
        <v>0</v>
      </c>
      <c r="AI98" s="677"/>
      <c r="AJ98" s="678"/>
      <c r="AL98" s="683" t="str">
        <f t="shared" si="66"/>
        <v>10p, high£, grid+</v>
      </c>
      <c r="AM98" s="679"/>
      <c r="AN98" s="677"/>
      <c r="AO98" s="677"/>
      <c r="AP98" s="677"/>
      <c r="AQ98" s="677"/>
      <c r="AR98" s="677"/>
      <c r="AS98" s="677"/>
      <c r="AT98" s="669">
        <f t="shared" si="80"/>
        <v>0</v>
      </c>
      <c r="AU98" s="677"/>
      <c r="AV98" s="678"/>
    </row>
    <row r="99" spans="1:48" x14ac:dyDescent="0.25">
      <c r="A99" s="181">
        <f t="shared" si="81"/>
        <v>0</v>
      </c>
      <c r="B99" s="182" t="str">
        <f t="shared" si="78"/>
        <v>12p, mid£, grid+</v>
      </c>
      <c r="C99" s="49" t="str">
        <f t="shared" si="82"/>
        <v>Blank site 2</v>
      </c>
      <c r="D99" s="39" t="str">
        <f t="shared" si="78"/>
        <v>12p/kWh, mid capex, high grid</v>
      </c>
      <c r="E99" s="59" t="str">
        <f>'Cash Flow Model'!I80</f>
        <v>n/a</v>
      </c>
      <c r="F99" s="59"/>
      <c r="G99" s="59"/>
      <c r="H99" s="85">
        <f>ROUND('Cash Flow Model'!I96,-2)</f>
        <v>0</v>
      </c>
      <c r="I99" s="84">
        <f>'Cash Flow Model'!I111</f>
        <v>0</v>
      </c>
      <c r="J99" s="98">
        <f>'Cash Flow Model'!I126</f>
        <v>0</v>
      </c>
      <c r="K99" s="84">
        <f>'Cash Flow Model'!I173</f>
        <v>0</v>
      </c>
      <c r="L99" s="109">
        <f>'Cash Flow Model'!I143</f>
        <v>0</v>
      </c>
      <c r="M99" s="116">
        <f>'Cash Flow Model'!I158</f>
        <v>0</v>
      </c>
      <c r="N99" s="109">
        <f>ROUND(($M99*'Global assumptions'!D20*10)-$L99,-2)</f>
        <v>0</v>
      </c>
      <c r="O99" s="118"/>
      <c r="P99" s="13" t="str">
        <f t="shared" si="83"/>
        <v>0. 10p, high£</v>
      </c>
      <c r="Q99" s="172">
        <f t="shared" si="84"/>
        <v>0</v>
      </c>
      <c r="R99" s="172">
        <f t="shared" si="85"/>
        <v>0</v>
      </c>
      <c r="S99" s="173">
        <f t="shared" si="86"/>
        <v>0</v>
      </c>
      <c r="T99" s="186">
        <f t="shared" si="87"/>
        <v>0</v>
      </c>
      <c r="U99" s="188" t="str">
        <f t="shared" si="88"/>
        <v>n/a</v>
      </c>
      <c r="W99" s="85">
        <f>'Cash Flow Model'!I188</f>
        <v>0</v>
      </c>
      <c r="X99" s="85">
        <f>'Cash Flow Model'!I203</f>
        <v>0</v>
      </c>
      <c r="Y99" s="666"/>
      <c r="Z99" s="686" t="str">
        <f t="shared" si="65"/>
        <v>12p, mid£, grid+</v>
      </c>
      <c r="AA99" s="13"/>
      <c r="AB99" s="6"/>
      <c r="AC99" s="677"/>
      <c r="AD99" s="677"/>
      <c r="AE99" s="677"/>
      <c r="AF99" s="677"/>
      <c r="AG99" s="677"/>
      <c r="AH99" s="669">
        <f t="shared" si="79"/>
        <v>0</v>
      </c>
      <c r="AI99" s="677"/>
      <c r="AJ99" s="678"/>
      <c r="AL99" s="683" t="str">
        <f t="shared" si="66"/>
        <v>12p, mid£, grid+</v>
      </c>
      <c r="AM99" s="679"/>
      <c r="AN99" s="677"/>
      <c r="AO99" s="677"/>
      <c r="AP99" s="677"/>
      <c r="AQ99" s="677"/>
      <c r="AR99" s="677"/>
      <c r="AS99" s="677"/>
      <c r="AT99" s="669">
        <f t="shared" si="80"/>
        <v>0</v>
      </c>
      <c r="AU99" s="677"/>
      <c r="AV99" s="678"/>
    </row>
    <row r="100" spans="1:48" x14ac:dyDescent="0.25">
      <c r="A100" s="181">
        <f t="shared" si="81"/>
        <v>0</v>
      </c>
      <c r="B100" s="182" t="str">
        <f t="shared" si="78"/>
        <v>12p, high£, grid+</v>
      </c>
      <c r="C100" s="49" t="str">
        <f t="shared" si="82"/>
        <v>Blank site 2</v>
      </c>
      <c r="D100" s="39" t="str">
        <f t="shared" si="78"/>
        <v>12p/kWh, high capex, high grid</v>
      </c>
      <c r="E100" s="61" t="str">
        <f>'Cash Flow Model'!I81</f>
        <v>n/a</v>
      </c>
      <c r="F100" s="61"/>
      <c r="G100" s="61"/>
      <c r="H100" s="87">
        <f>ROUND('Cash Flow Model'!I97,-2)</f>
        <v>0</v>
      </c>
      <c r="I100" s="88">
        <f>'Cash Flow Model'!I112</f>
        <v>0</v>
      </c>
      <c r="J100" s="99">
        <f>'Cash Flow Model'!I127</f>
        <v>0</v>
      </c>
      <c r="K100" s="88">
        <f>'Cash Flow Model'!I174</f>
        <v>0</v>
      </c>
      <c r="L100" s="110">
        <f>'Cash Flow Model'!I144</f>
        <v>0</v>
      </c>
      <c r="M100" s="117">
        <f>'Cash Flow Model'!I159</f>
        <v>0</v>
      </c>
      <c r="N100" s="110">
        <f>ROUND(($M100*'Global assumptions'!D20*10)-$L100,-2)</f>
        <v>0</v>
      </c>
      <c r="O100" s="118"/>
      <c r="P100" s="13" t="str">
        <f t="shared" si="83"/>
        <v>0. 12p, low£</v>
      </c>
      <c r="Q100" s="172">
        <f t="shared" si="84"/>
        <v>0</v>
      </c>
      <c r="R100" s="172">
        <f t="shared" si="85"/>
        <v>0</v>
      </c>
      <c r="S100" s="173">
        <f t="shared" si="86"/>
        <v>0</v>
      </c>
      <c r="T100" s="186">
        <f t="shared" si="87"/>
        <v>0</v>
      </c>
      <c r="U100" s="188" t="str">
        <f t="shared" si="88"/>
        <v>n/a</v>
      </c>
      <c r="W100" s="87">
        <f>'Cash Flow Model'!I189</f>
        <v>0</v>
      </c>
      <c r="X100" s="87">
        <f>'Cash Flow Model'!I204</f>
        <v>0</v>
      </c>
      <c r="Y100" s="666"/>
      <c r="Z100" s="686" t="str">
        <f t="shared" si="65"/>
        <v>12p, high£, grid+</v>
      </c>
      <c r="AA100" s="13"/>
      <c r="AB100" s="6"/>
      <c r="AC100" s="677"/>
      <c r="AD100" s="677"/>
      <c r="AE100" s="677"/>
      <c r="AF100" s="677"/>
      <c r="AG100" s="677"/>
      <c r="AH100" s="671">
        <f t="shared" si="79"/>
        <v>0</v>
      </c>
      <c r="AI100" s="677"/>
      <c r="AJ100" s="678"/>
      <c r="AL100" s="683" t="str">
        <f t="shared" si="66"/>
        <v>12p, high£, grid+</v>
      </c>
      <c r="AM100" s="679"/>
      <c r="AN100" s="677"/>
      <c r="AO100" s="677"/>
      <c r="AP100" s="677"/>
      <c r="AQ100" s="677"/>
      <c r="AR100" s="677"/>
      <c r="AS100" s="677"/>
      <c r="AT100" s="671">
        <f t="shared" si="80"/>
        <v>0</v>
      </c>
      <c r="AU100" s="677"/>
      <c r="AV100" s="678"/>
    </row>
    <row r="101" spans="1:48" x14ac:dyDescent="0.25">
      <c r="A101" s="179">
        <f>'Costs (by site)'!M4</f>
        <v>0</v>
      </c>
      <c r="B101" s="180" t="str">
        <f t="shared" ref="B101:D112" si="89">B89</f>
        <v>9p, low£</v>
      </c>
      <c r="C101" s="48" t="str">
        <f>'Costs (by site)'!M3</f>
        <v>Blank site 3</v>
      </c>
      <c r="D101" s="51" t="str">
        <f t="shared" si="89"/>
        <v>9p/kWh, favourable  capex</v>
      </c>
      <c r="E101" s="60" t="str">
        <f>'Cash Flow Model'!J70</f>
        <v>n/a</v>
      </c>
      <c r="F101" s="60"/>
      <c r="G101" s="60"/>
      <c r="H101" s="86">
        <f>ROUND('Cash Flow Model'!J86,-2)</f>
        <v>0</v>
      </c>
      <c r="I101" s="83">
        <f>'Cash Flow Model'!J101</f>
        <v>0</v>
      </c>
      <c r="J101" s="97">
        <f>'Cash Flow Model'!J116</f>
        <v>0</v>
      </c>
      <c r="K101" s="83">
        <f>'Cash Flow Model'!J163</f>
        <v>0</v>
      </c>
      <c r="L101" s="103">
        <f>'Cash Flow Model'!J133</f>
        <v>0</v>
      </c>
      <c r="M101" s="115">
        <f>'Cash Flow Model'!J148</f>
        <v>0</v>
      </c>
      <c r="N101" s="103">
        <f>ROUND(($M101*'Global assumptions'!D20*10)-$L101,-2)</f>
        <v>0</v>
      </c>
      <c r="O101" s="118"/>
      <c r="P101" s="13" t="str">
        <f t="shared" si="83"/>
        <v>0. 12p, low£</v>
      </c>
      <c r="Q101" s="172">
        <f t="shared" si="84"/>
        <v>0</v>
      </c>
      <c r="R101" s="172">
        <f t="shared" si="85"/>
        <v>0</v>
      </c>
      <c r="S101" s="173">
        <f t="shared" si="86"/>
        <v>0</v>
      </c>
      <c r="T101" s="186">
        <f t="shared" si="87"/>
        <v>0</v>
      </c>
      <c r="U101" s="188" t="str">
        <f t="shared" si="88"/>
        <v>n/a</v>
      </c>
      <c r="W101" s="86">
        <f>'Cash Flow Model'!J178</f>
        <v>0</v>
      </c>
      <c r="X101" s="86">
        <f>'Cash Flow Model'!J193</f>
        <v>0</v>
      </c>
      <c r="Y101" s="666"/>
      <c r="Z101" s="686" t="str">
        <f t="shared" si="65"/>
        <v>9p, low£</v>
      </c>
      <c r="AA101" s="13"/>
      <c r="AB101" s="6"/>
      <c r="AC101" s="677"/>
      <c r="AD101" s="677"/>
      <c r="AE101" s="677"/>
      <c r="AF101" s="677"/>
      <c r="AG101" s="677"/>
      <c r="AH101" s="677"/>
      <c r="AI101" s="670">
        <f t="shared" ref="AI101:AI112" si="90">W101</f>
        <v>0</v>
      </c>
      <c r="AJ101" s="678"/>
      <c r="AL101" s="683" t="str">
        <f t="shared" si="66"/>
        <v>9p, low£</v>
      </c>
      <c r="AM101" s="679"/>
      <c r="AN101" s="677"/>
      <c r="AO101" s="677"/>
      <c r="AP101" s="677"/>
      <c r="AQ101" s="677"/>
      <c r="AR101" s="677"/>
      <c r="AS101" s="677"/>
      <c r="AT101" s="677"/>
      <c r="AU101" s="670">
        <f t="shared" ref="AU101:AU112" si="91">X101</f>
        <v>0</v>
      </c>
      <c r="AV101" s="678"/>
    </row>
    <row r="102" spans="1:48" x14ac:dyDescent="0.25">
      <c r="A102" s="181">
        <f>A101</f>
        <v>0</v>
      </c>
      <c r="B102" s="182" t="str">
        <f t="shared" si="89"/>
        <v>9p, low£</v>
      </c>
      <c r="C102" s="49" t="str">
        <f>C101</f>
        <v>Blank site 3</v>
      </c>
      <c r="D102" s="39" t="str">
        <f t="shared" si="89"/>
        <v>9p/kWh, high capex</v>
      </c>
      <c r="E102" s="59" t="str">
        <f>'Cash Flow Model'!J71</f>
        <v>n/a</v>
      </c>
      <c r="F102" s="59"/>
      <c r="G102" s="59"/>
      <c r="H102" s="85">
        <f>ROUND('Cash Flow Model'!J87,-2)</f>
        <v>0</v>
      </c>
      <c r="I102" s="84">
        <f>'Cash Flow Model'!J102</f>
        <v>0</v>
      </c>
      <c r="J102" s="98">
        <f>'Cash Flow Model'!J117</f>
        <v>0</v>
      </c>
      <c r="K102" s="84">
        <f>'Cash Flow Model'!J164</f>
        <v>0</v>
      </c>
      <c r="L102" s="109">
        <f>'Cash Flow Model'!J134</f>
        <v>0</v>
      </c>
      <c r="M102" s="116">
        <f>'Cash Flow Model'!J149</f>
        <v>0</v>
      </c>
      <c r="N102" s="109">
        <f>ROUND(($M102*'Global assumptions'!D20*10)-$L102,-2)</f>
        <v>0</v>
      </c>
      <c r="O102" s="118"/>
      <c r="P102" s="13" t="str">
        <f t="shared" si="83"/>
        <v>0. 9p, mid£, grid+</v>
      </c>
      <c r="Q102" s="172">
        <f t="shared" si="84"/>
        <v>0</v>
      </c>
      <c r="R102" s="172">
        <f t="shared" si="85"/>
        <v>0</v>
      </c>
      <c r="S102" s="173">
        <f t="shared" si="86"/>
        <v>0</v>
      </c>
      <c r="T102" s="186">
        <f t="shared" si="87"/>
        <v>0</v>
      </c>
      <c r="U102" s="188" t="str">
        <f t="shared" si="88"/>
        <v>n/a</v>
      </c>
      <c r="W102" s="85">
        <f>'Cash Flow Model'!J179</f>
        <v>0</v>
      </c>
      <c r="X102" s="85">
        <f>'Cash Flow Model'!J194</f>
        <v>0</v>
      </c>
      <c r="Y102" s="666"/>
      <c r="Z102" s="686" t="str">
        <f t="shared" si="65"/>
        <v>9p, low£</v>
      </c>
      <c r="AA102" s="13"/>
      <c r="AB102" s="6"/>
      <c r="AC102" s="677"/>
      <c r="AD102" s="677"/>
      <c r="AE102" s="677"/>
      <c r="AF102" s="677"/>
      <c r="AG102" s="677"/>
      <c r="AH102" s="677"/>
      <c r="AI102" s="669">
        <f t="shared" si="90"/>
        <v>0</v>
      </c>
      <c r="AJ102" s="678"/>
      <c r="AL102" s="683" t="str">
        <f t="shared" si="66"/>
        <v>9p, low£</v>
      </c>
      <c r="AM102" s="679"/>
      <c r="AN102" s="677"/>
      <c r="AO102" s="677"/>
      <c r="AP102" s="677"/>
      <c r="AQ102" s="677"/>
      <c r="AR102" s="677"/>
      <c r="AS102" s="677"/>
      <c r="AT102" s="677"/>
      <c r="AU102" s="669">
        <f t="shared" si="91"/>
        <v>0</v>
      </c>
      <c r="AV102" s="678"/>
    </row>
    <row r="103" spans="1:48" x14ac:dyDescent="0.25">
      <c r="A103" s="181">
        <f>A101</f>
        <v>0</v>
      </c>
      <c r="B103" s="182" t="str">
        <f t="shared" si="89"/>
        <v>10p, low£</v>
      </c>
      <c r="C103" s="49" t="str">
        <f>C101</f>
        <v>Blank site 3</v>
      </c>
      <c r="D103" s="39" t="str">
        <f t="shared" si="89"/>
        <v>10p/kWh, favourable  capex</v>
      </c>
      <c r="E103" s="59" t="str">
        <f>'Cash Flow Model'!J72</f>
        <v>n/a</v>
      </c>
      <c r="F103" s="59"/>
      <c r="G103" s="59"/>
      <c r="H103" s="85">
        <f>ROUND('Cash Flow Model'!J88,-2)</f>
        <v>0</v>
      </c>
      <c r="I103" s="84">
        <f>'Cash Flow Model'!J103</f>
        <v>0</v>
      </c>
      <c r="J103" s="98">
        <f>'Cash Flow Model'!J118</f>
        <v>0</v>
      </c>
      <c r="K103" s="84">
        <f>'Cash Flow Model'!J165</f>
        <v>0</v>
      </c>
      <c r="L103" s="109">
        <f>'Cash Flow Model'!J135</f>
        <v>0</v>
      </c>
      <c r="M103" s="116">
        <f>'Cash Flow Model'!J150</f>
        <v>0</v>
      </c>
      <c r="N103" s="109">
        <f>ROUND(($M103*'Global assumptions'!D20*10)-$L103,-2)</f>
        <v>0</v>
      </c>
      <c r="O103" s="118"/>
      <c r="P103" s="13" t="str">
        <f t="shared" si="83"/>
        <v>0. 9p, high£, grid+</v>
      </c>
      <c r="Q103" s="172">
        <f t="shared" si="84"/>
        <v>0</v>
      </c>
      <c r="R103" s="172">
        <f t="shared" si="85"/>
        <v>0</v>
      </c>
      <c r="S103" s="173">
        <f t="shared" si="86"/>
        <v>0</v>
      </c>
      <c r="T103" s="186">
        <f t="shared" si="87"/>
        <v>0</v>
      </c>
      <c r="U103" s="188" t="str">
        <f t="shared" si="88"/>
        <v>n/a</v>
      </c>
      <c r="W103" s="85">
        <f>'Cash Flow Model'!J180</f>
        <v>0</v>
      </c>
      <c r="X103" s="85">
        <f>'Cash Flow Model'!J195</f>
        <v>0</v>
      </c>
      <c r="Y103" s="666"/>
      <c r="Z103" s="686" t="str">
        <f t="shared" si="65"/>
        <v>10p, low£</v>
      </c>
      <c r="AA103" s="13"/>
      <c r="AB103" s="6"/>
      <c r="AC103" s="677"/>
      <c r="AD103" s="677"/>
      <c r="AE103" s="677"/>
      <c r="AF103" s="677"/>
      <c r="AG103" s="677"/>
      <c r="AH103" s="677"/>
      <c r="AI103" s="669">
        <f t="shared" si="90"/>
        <v>0</v>
      </c>
      <c r="AJ103" s="678"/>
      <c r="AL103" s="683" t="str">
        <f t="shared" si="66"/>
        <v>10p, low£</v>
      </c>
      <c r="AM103" s="679"/>
      <c r="AN103" s="677"/>
      <c r="AO103" s="677"/>
      <c r="AP103" s="677"/>
      <c r="AQ103" s="677"/>
      <c r="AR103" s="677"/>
      <c r="AS103" s="677"/>
      <c r="AT103" s="677"/>
      <c r="AU103" s="669">
        <f t="shared" si="91"/>
        <v>0</v>
      </c>
      <c r="AV103" s="678"/>
    </row>
    <row r="104" spans="1:48" x14ac:dyDescent="0.25">
      <c r="A104" s="181">
        <f t="shared" ref="A104:A112" si="92">A103</f>
        <v>0</v>
      </c>
      <c r="B104" s="182" t="str">
        <f t="shared" si="89"/>
        <v>10p, high£</v>
      </c>
      <c r="C104" s="49" t="str">
        <f t="shared" ref="C104:C112" si="93">C103</f>
        <v>Blank site 3</v>
      </c>
      <c r="D104" s="39" t="str">
        <f t="shared" si="89"/>
        <v>10p/kWh, high capex</v>
      </c>
      <c r="E104" s="59" t="str">
        <f>'Cash Flow Model'!J73</f>
        <v>n/a</v>
      </c>
      <c r="F104" s="59"/>
      <c r="G104" s="59"/>
      <c r="H104" s="85">
        <f>ROUND('Cash Flow Model'!J89,-2)</f>
        <v>0</v>
      </c>
      <c r="I104" s="84">
        <f>'Cash Flow Model'!J104</f>
        <v>0</v>
      </c>
      <c r="J104" s="98">
        <f>'Cash Flow Model'!J119</f>
        <v>0</v>
      </c>
      <c r="K104" s="84">
        <f>'Cash Flow Model'!J166</f>
        <v>0</v>
      </c>
      <c r="L104" s="109">
        <f>'Cash Flow Model'!J136</f>
        <v>0</v>
      </c>
      <c r="M104" s="116">
        <f>'Cash Flow Model'!J151</f>
        <v>0</v>
      </c>
      <c r="N104" s="109">
        <f>ROUND(($M104*'Global assumptions'!D20*10)-$L104,-2)</f>
        <v>0</v>
      </c>
      <c r="O104" s="118"/>
      <c r="P104" s="13" t="str">
        <f t="shared" si="83"/>
        <v>0. 10p, mid£, grid+</v>
      </c>
      <c r="Q104" s="172">
        <f t="shared" si="84"/>
        <v>0</v>
      </c>
      <c r="R104" s="172">
        <f t="shared" si="85"/>
        <v>0</v>
      </c>
      <c r="S104" s="173">
        <f t="shared" si="86"/>
        <v>0</v>
      </c>
      <c r="T104" s="186">
        <f t="shared" si="87"/>
        <v>0</v>
      </c>
      <c r="U104" s="188" t="str">
        <f t="shared" si="88"/>
        <v>n/a</v>
      </c>
      <c r="W104" s="85">
        <f>'Cash Flow Model'!J181</f>
        <v>0</v>
      </c>
      <c r="X104" s="85">
        <f>'Cash Flow Model'!J196</f>
        <v>0</v>
      </c>
      <c r="Y104" s="666"/>
      <c r="Z104" s="686" t="str">
        <f t="shared" si="65"/>
        <v>10p, high£</v>
      </c>
      <c r="AA104" s="13"/>
      <c r="AB104" s="6"/>
      <c r="AC104" s="677"/>
      <c r="AD104" s="677"/>
      <c r="AE104" s="677"/>
      <c r="AF104" s="677"/>
      <c r="AG104" s="677"/>
      <c r="AH104" s="677"/>
      <c r="AI104" s="669">
        <f t="shared" si="90"/>
        <v>0</v>
      </c>
      <c r="AJ104" s="678"/>
      <c r="AL104" s="683" t="str">
        <f t="shared" si="66"/>
        <v>10p, high£</v>
      </c>
      <c r="AM104" s="679"/>
      <c r="AN104" s="677"/>
      <c r="AO104" s="677"/>
      <c r="AP104" s="677"/>
      <c r="AQ104" s="677"/>
      <c r="AR104" s="677"/>
      <c r="AS104" s="677"/>
      <c r="AT104" s="677"/>
      <c r="AU104" s="669">
        <f t="shared" si="91"/>
        <v>0</v>
      </c>
      <c r="AV104" s="678"/>
    </row>
    <row r="105" spans="1:48" x14ac:dyDescent="0.25">
      <c r="A105" s="181">
        <f t="shared" si="92"/>
        <v>0</v>
      </c>
      <c r="B105" s="182" t="str">
        <f t="shared" si="89"/>
        <v>12p, low£</v>
      </c>
      <c r="C105" s="49" t="str">
        <f t="shared" si="93"/>
        <v>Blank site 3</v>
      </c>
      <c r="D105" s="39" t="str">
        <f t="shared" si="89"/>
        <v>12p/kWh, favourable  capex</v>
      </c>
      <c r="E105" s="59" t="str">
        <f>'Cash Flow Model'!J74</f>
        <v>n/a</v>
      </c>
      <c r="F105" s="59"/>
      <c r="G105" s="59"/>
      <c r="H105" s="85">
        <f>ROUND('Cash Flow Model'!J90,-2)</f>
        <v>0</v>
      </c>
      <c r="I105" s="84">
        <f>'Cash Flow Model'!J105</f>
        <v>0</v>
      </c>
      <c r="J105" s="98">
        <f>'Cash Flow Model'!J120</f>
        <v>0</v>
      </c>
      <c r="K105" s="84">
        <f>'Cash Flow Model'!J167</f>
        <v>0</v>
      </c>
      <c r="L105" s="109">
        <f>'Cash Flow Model'!J137</f>
        <v>0</v>
      </c>
      <c r="M105" s="116">
        <f>'Cash Flow Model'!J152</f>
        <v>0</v>
      </c>
      <c r="N105" s="109">
        <f>ROUND(($M105*'Global assumptions'!D20*10)-$L105,-2)</f>
        <v>0</v>
      </c>
      <c r="O105" s="118"/>
      <c r="P105" s="13" t="str">
        <f t="shared" si="83"/>
        <v>0. 10p, high£, grid+</v>
      </c>
      <c r="Q105" s="172">
        <f t="shared" si="84"/>
        <v>0</v>
      </c>
      <c r="R105" s="172">
        <f t="shared" si="85"/>
        <v>0</v>
      </c>
      <c r="S105" s="173">
        <f t="shared" si="86"/>
        <v>0</v>
      </c>
      <c r="T105" s="186">
        <f t="shared" si="87"/>
        <v>0</v>
      </c>
      <c r="U105" s="188" t="str">
        <f t="shared" si="88"/>
        <v>n/a</v>
      </c>
      <c r="W105" s="85">
        <f>'Cash Flow Model'!J182</f>
        <v>0</v>
      </c>
      <c r="X105" s="85">
        <f>'Cash Flow Model'!J197</f>
        <v>0</v>
      </c>
      <c r="Y105" s="666"/>
      <c r="Z105" s="686" t="str">
        <f t="shared" si="65"/>
        <v>12p, low£</v>
      </c>
      <c r="AA105" s="13"/>
      <c r="AB105" s="6"/>
      <c r="AC105" s="677"/>
      <c r="AD105" s="677"/>
      <c r="AE105" s="677"/>
      <c r="AF105" s="677"/>
      <c r="AG105" s="677"/>
      <c r="AH105" s="677"/>
      <c r="AI105" s="669">
        <f t="shared" si="90"/>
        <v>0</v>
      </c>
      <c r="AJ105" s="678"/>
      <c r="AL105" s="683" t="str">
        <f t="shared" si="66"/>
        <v>12p, low£</v>
      </c>
      <c r="AM105" s="679"/>
      <c r="AN105" s="677"/>
      <c r="AO105" s="677"/>
      <c r="AP105" s="677"/>
      <c r="AQ105" s="677"/>
      <c r="AR105" s="677"/>
      <c r="AS105" s="677"/>
      <c r="AT105" s="677"/>
      <c r="AU105" s="669">
        <f t="shared" si="91"/>
        <v>0</v>
      </c>
      <c r="AV105" s="678"/>
    </row>
    <row r="106" spans="1:48" x14ac:dyDescent="0.25">
      <c r="A106" s="181">
        <f t="shared" si="92"/>
        <v>0</v>
      </c>
      <c r="B106" s="182" t="str">
        <f t="shared" si="89"/>
        <v>12p, low£</v>
      </c>
      <c r="C106" s="49" t="str">
        <f t="shared" si="93"/>
        <v>Blank site 3</v>
      </c>
      <c r="D106" s="39" t="str">
        <f t="shared" si="89"/>
        <v>12p/kWh, high capex</v>
      </c>
      <c r="E106" s="59" t="str">
        <f>'Cash Flow Model'!J75</f>
        <v>n/a</v>
      </c>
      <c r="F106" s="59"/>
      <c r="G106" s="59"/>
      <c r="H106" s="85">
        <f>ROUND('Cash Flow Model'!J91,-2)</f>
        <v>0</v>
      </c>
      <c r="I106" s="84">
        <f>'Cash Flow Model'!J106</f>
        <v>0</v>
      </c>
      <c r="J106" s="98">
        <f>'Cash Flow Model'!J121</f>
        <v>0</v>
      </c>
      <c r="K106" s="84">
        <f>'Cash Flow Model'!J168</f>
        <v>0</v>
      </c>
      <c r="L106" s="109">
        <f>'Cash Flow Model'!J138</f>
        <v>0</v>
      </c>
      <c r="M106" s="116">
        <f>'Cash Flow Model'!J153</f>
        <v>0</v>
      </c>
      <c r="N106" s="109">
        <f>ROUND(($M106*'Global assumptions'!D20*10)-$L106,-2)</f>
        <v>0</v>
      </c>
      <c r="O106" s="118"/>
      <c r="P106" s="13" t="str">
        <f t="shared" si="83"/>
        <v>0. 12p, mid£, grid+</v>
      </c>
      <c r="Q106" s="172">
        <f t="shared" si="84"/>
        <v>0</v>
      </c>
      <c r="R106" s="172">
        <f t="shared" si="85"/>
        <v>0</v>
      </c>
      <c r="S106" s="173">
        <f t="shared" si="86"/>
        <v>0</v>
      </c>
      <c r="T106" s="186">
        <f t="shared" si="87"/>
        <v>0</v>
      </c>
      <c r="U106" s="188" t="str">
        <f t="shared" si="88"/>
        <v>n/a</v>
      </c>
      <c r="W106" s="85">
        <f>'Cash Flow Model'!J183</f>
        <v>0</v>
      </c>
      <c r="X106" s="85">
        <f>'Cash Flow Model'!J198</f>
        <v>0</v>
      </c>
      <c r="Y106" s="666"/>
      <c r="Z106" s="686" t="str">
        <f t="shared" si="65"/>
        <v>12p, low£</v>
      </c>
      <c r="AA106" s="13"/>
      <c r="AB106" s="6"/>
      <c r="AC106" s="677"/>
      <c r="AD106" s="677"/>
      <c r="AE106" s="677"/>
      <c r="AF106" s="677"/>
      <c r="AG106" s="677"/>
      <c r="AH106" s="677"/>
      <c r="AI106" s="669">
        <f t="shared" si="90"/>
        <v>0</v>
      </c>
      <c r="AJ106" s="678"/>
      <c r="AL106" s="683" t="str">
        <f t="shared" si="66"/>
        <v>12p, low£</v>
      </c>
      <c r="AM106" s="679"/>
      <c r="AN106" s="677"/>
      <c r="AO106" s="677"/>
      <c r="AP106" s="677"/>
      <c r="AQ106" s="677"/>
      <c r="AR106" s="677"/>
      <c r="AS106" s="677"/>
      <c r="AT106" s="677"/>
      <c r="AU106" s="669">
        <f t="shared" si="91"/>
        <v>0</v>
      </c>
      <c r="AV106" s="678"/>
    </row>
    <row r="107" spans="1:48" x14ac:dyDescent="0.25">
      <c r="A107" s="181">
        <f t="shared" si="92"/>
        <v>0</v>
      </c>
      <c r="B107" s="182" t="str">
        <f t="shared" si="89"/>
        <v>9p, mid£, grid+</v>
      </c>
      <c r="C107" s="49" t="str">
        <f t="shared" si="93"/>
        <v>Blank site 3</v>
      </c>
      <c r="D107" s="39" t="str">
        <f t="shared" si="89"/>
        <v>9p/kWh, mid capex, high grid</v>
      </c>
      <c r="E107" s="59" t="str">
        <f>'Cash Flow Model'!J76</f>
        <v>n/a</v>
      </c>
      <c r="F107" s="59"/>
      <c r="G107" s="59"/>
      <c r="H107" s="85">
        <f>ROUND('Cash Flow Model'!J92,-2)</f>
        <v>0</v>
      </c>
      <c r="I107" s="84">
        <f>'Cash Flow Model'!J107</f>
        <v>0</v>
      </c>
      <c r="J107" s="98">
        <f>'Cash Flow Model'!J122</f>
        <v>0</v>
      </c>
      <c r="K107" s="84">
        <f>'Cash Flow Model'!J169</f>
        <v>0</v>
      </c>
      <c r="L107" s="109">
        <f>'Cash Flow Model'!J139</f>
        <v>0</v>
      </c>
      <c r="M107" s="116">
        <f>'Cash Flow Model'!J154</f>
        <v>0</v>
      </c>
      <c r="N107" s="109">
        <f>ROUND(($M107*'Global assumptions'!D20*10)-$L107,-2)</f>
        <v>0</v>
      </c>
      <c r="O107" s="118"/>
      <c r="P107" s="19" t="str">
        <f t="shared" si="83"/>
        <v>0. 12p, high£, grid+</v>
      </c>
      <c r="Q107" s="174">
        <f t="shared" si="84"/>
        <v>0</v>
      </c>
      <c r="R107" s="174">
        <f t="shared" si="85"/>
        <v>0</v>
      </c>
      <c r="S107" s="175">
        <f t="shared" si="86"/>
        <v>0</v>
      </c>
      <c r="T107" s="187">
        <f t="shared" si="87"/>
        <v>0</v>
      </c>
      <c r="U107" s="188" t="str">
        <f t="shared" si="88"/>
        <v>n/a</v>
      </c>
      <c r="W107" s="85">
        <f>'Cash Flow Model'!J184</f>
        <v>0</v>
      </c>
      <c r="X107" s="85">
        <f>'Cash Flow Model'!J199</f>
        <v>0</v>
      </c>
      <c r="Y107" s="666"/>
      <c r="Z107" s="686" t="str">
        <f t="shared" si="65"/>
        <v>9p, mid£, grid+</v>
      </c>
      <c r="AA107" s="13"/>
      <c r="AB107" s="6"/>
      <c r="AC107" s="677"/>
      <c r="AD107" s="677"/>
      <c r="AE107" s="677"/>
      <c r="AF107" s="677"/>
      <c r="AG107" s="677"/>
      <c r="AH107" s="677"/>
      <c r="AI107" s="669">
        <f t="shared" si="90"/>
        <v>0</v>
      </c>
      <c r="AJ107" s="678"/>
      <c r="AL107" s="683" t="str">
        <f t="shared" si="66"/>
        <v>9p, mid£, grid+</v>
      </c>
      <c r="AM107" s="679"/>
      <c r="AN107" s="677"/>
      <c r="AO107" s="677"/>
      <c r="AP107" s="677"/>
      <c r="AQ107" s="677"/>
      <c r="AR107" s="677"/>
      <c r="AS107" s="677"/>
      <c r="AT107" s="677"/>
      <c r="AU107" s="669">
        <f t="shared" si="91"/>
        <v>0</v>
      </c>
      <c r="AV107" s="678"/>
    </row>
    <row r="108" spans="1:48" x14ac:dyDescent="0.25">
      <c r="A108" s="181">
        <f t="shared" si="92"/>
        <v>0</v>
      </c>
      <c r="B108" s="182" t="str">
        <f t="shared" si="89"/>
        <v>9p, high£, grid+</v>
      </c>
      <c r="C108" s="49" t="str">
        <f t="shared" si="93"/>
        <v>Blank site 3</v>
      </c>
      <c r="D108" s="39" t="str">
        <f t="shared" si="89"/>
        <v>9p/kWh, high capex, high grid</v>
      </c>
      <c r="E108" s="59" t="str">
        <f>'Cash Flow Model'!J77</f>
        <v>n/a</v>
      </c>
      <c r="F108" s="59"/>
      <c r="G108" s="59"/>
      <c r="H108" s="85">
        <f>ROUND('Cash Flow Model'!J93,-2)</f>
        <v>0</v>
      </c>
      <c r="I108" s="84">
        <f>'Cash Flow Model'!J108</f>
        <v>0</v>
      </c>
      <c r="J108" s="98">
        <f>'Cash Flow Model'!J123</f>
        <v>0</v>
      </c>
      <c r="K108" s="84">
        <f>'Cash Flow Model'!J170</f>
        <v>0</v>
      </c>
      <c r="L108" s="109">
        <f>'Cash Flow Model'!J140</f>
        <v>0</v>
      </c>
      <c r="M108" s="116">
        <f>'Cash Flow Model'!J155</f>
        <v>0</v>
      </c>
      <c r="N108" s="109">
        <f>ROUND(($M108*'Global assumptions'!D20*10)-$L108,-2)</f>
        <v>0</v>
      </c>
      <c r="O108" s="118"/>
      <c r="W108" s="85">
        <f>'Cash Flow Model'!J185</f>
        <v>0</v>
      </c>
      <c r="X108" s="85">
        <f>'Cash Flow Model'!J200</f>
        <v>0</v>
      </c>
      <c r="Y108" s="666"/>
      <c r="Z108" s="686" t="str">
        <f t="shared" si="65"/>
        <v>9p, high£, grid+</v>
      </c>
      <c r="AA108" s="13"/>
      <c r="AB108" s="6"/>
      <c r="AC108" s="677"/>
      <c r="AD108" s="677"/>
      <c r="AE108" s="677"/>
      <c r="AF108" s="677"/>
      <c r="AG108" s="677"/>
      <c r="AH108" s="677"/>
      <c r="AI108" s="669">
        <f t="shared" si="90"/>
        <v>0</v>
      </c>
      <c r="AJ108" s="678"/>
      <c r="AL108" s="683" t="str">
        <f t="shared" si="66"/>
        <v>9p, high£, grid+</v>
      </c>
      <c r="AM108" s="679"/>
      <c r="AN108" s="677"/>
      <c r="AO108" s="677"/>
      <c r="AP108" s="677"/>
      <c r="AQ108" s="677"/>
      <c r="AR108" s="677"/>
      <c r="AS108" s="677"/>
      <c r="AT108" s="677"/>
      <c r="AU108" s="669">
        <f t="shared" si="91"/>
        <v>0</v>
      </c>
      <c r="AV108" s="678"/>
    </row>
    <row r="109" spans="1:48" x14ac:dyDescent="0.25">
      <c r="A109" s="181">
        <f t="shared" si="92"/>
        <v>0</v>
      </c>
      <c r="B109" s="182" t="str">
        <f t="shared" si="89"/>
        <v>10p, mid£, grid+</v>
      </c>
      <c r="C109" s="49" t="str">
        <f t="shared" si="93"/>
        <v>Blank site 3</v>
      </c>
      <c r="D109" s="39" t="str">
        <f t="shared" si="89"/>
        <v>10p/kWh, mid capex, high grid</v>
      </c>
      <c r="E109" s="59" t="str">
        <f>'Cash Flow Model'!J78</f>
        <v>n/a</v>
      </c>
      <c r="F109" s="59"/>
      <c r="G109" s="59"/>
      <c r="H109" s="85">
        <f>ROUND('Cash Flow Model'!J94,-2)</f>
        <v>0</v>
      </c>
      <c r="I109" s="84">
        <f>'Cash Flow Model'!J109</f>
        <v>0</v>
      </c>
      <c r="J109" s="98">
        <f>'Cash Flow Model'!J124</f>
        <v>0</v>
      </c>
      <c r="K109" s="84">
        <f>'Cash Flow Model'!J171</f>
        <v>0</v>
      </c>
      <c r="L109" s="109">
        <f>'Cash Flow Model'!J141</f>
        <v>0</v>
      </c>
      <c r="M109" s="116">
        <f>'Cash Flow Model'!J156</f>
        <v>0</v>
      </c>
      <c r="N109" s="109">
        <f>ROUND(($M109*'Global assumptions'!D20*10)-$L109,-2)</f>
        <v>0</v>
      </c>
      <c r="O109" s="118"/>
      <c r="W109" s="85">
        <f>'Cash Flow Model'!J186</f>
        <v>0</v>
      </c>
      <c r="X109" s="85">
        <f>'Cash Flow Model'!J201</f>
        <v>0</v>
      </c>
      <c r="Y109" s="666"/>
      <c r="Z109" s="686" t="str">
        <f t="shared" si="65"/>
        <v>10p, mid£, grid+</v>
      </c>
      <c r="AA109" s="13"/>
      <c r="AB109" s="6"/>
      <c r="AC109" s="677"/>
      <c r="AD109" s="677"/>
      <c r="AE109" s="677"/>
      <c r="AF109" s="677"/>
      <c r="AG109" s="677"/>
      <c r="AH109" s="677"/>
      <c r="AI109" s="669">
        <f t="shared" si="90"/>
        <v>0</v>
      </c>
      <c r="AJ109" s="678"/>
      <c r="AL109" s="683" t="str">
        <f t="shared" si="66"/>
        <v>10p, mid£, grid+</v>
      </c>
      <c r="AM109" s="679"/>
      <c r="AN109" s="677"/>
      <c r="AO109" s="677"/>
      <c r="AP109" s="677"/>
      <c r="AQ109" s="677"/>
      <c r="AR109" s="677"/>
      <c r="AS109" s="677"/>
      <c r="AT109" s="677"/>
      <c r="AU109" s="669">
        <f t="shared" si="91"/>
        <v>0</v>
      </c>
      <c r="AV109" s="678"/>
    </row>
    <row r="110" spans="1:48" x14ac:dyDescent="0.25">
      <c r="A110" s="181">
        <f t="shared" si="92"/>
        <v>0</v>
      </c>
      <c r="B110" s="182" t="str">
        <f t="shared" si="89"/>
        <v>10p, high£, grid+</v>
      </c>
      <c r="C110" s="49" t="str">
        <f t="shared" si="93"/>
        <v>Blank site 3</v>
      </c>
      <c r="D110" s="39" t="str">
        <f t="shared" si="89"/>
        <v>10p/kWh, high capex, high grid</v>
      </c>
      <c r="E110" s="59" t="str">
        <f>'Cash Flow Model'!J79</f>
        <v>n/a</v>
      </c>
      <c r="F110" s="59"/>
      <c r="G110" s="59"/>
      <c r="H110" s="85">
        <f>ROUND('Cash Flow Model'!J95,-2)</f>
        <v>0</v>
      </c>
      <c r="I110" s="84">
        <f>'Cash Flow Model'!J110</f>
        <v>0</v>
      </c>
      <c r="J110" s="98">
        <f>'Cash Flow Model'!J125</f>
        <v>0</v>
      </c>
      <c r="K110" s="84">
        <f>'Cash Flow Model'!J172</f>
        <v>0</v>
      </c>
      <c r="L110" s="109">
        <f>'Cash Flow Model'!J142</f>
        <v>0</v>
      </c>
      <c r="M110" s="116">
        <f>'Cash Flow Model'!J157</f>
        <v>0</v>
      </c>
      <c r="N110" s="109">
        <f>ROUND(($M110*'Global assumptions'!D20*10)-$L110,-2)</f>
        <v>0</v>
      </c>
      <c r="O110" s="118"/>
      <c r="W110" s="85">
        <f>'Cash Flow Model'!J187</f>
        <v>0</v>
      </c>
      <c r="X110" s="85">
        <f>'Cash Flow Model'!J202</f>
        <v>0</v>
      </c>
      <c r="Y110" s="666"/>
      <c r="Z110" s="686" t="str">
        <f t="shared" si="65"/>
        <v>10p, high£, grid+</v>
      </c>
      <c r="AA110" s="13"/>
      <c r="AB110" s="6"/>
      <c r="AC110" s="677"/>
      <c r="AD110" s="677"/>
      <c r="AE110" s="677"/>
      <c r="AF110" s="677"/>
      <c r="AG110" s="677"/>
      <c r="AH110" s="677"/>
      <c r="AI110" s="669">
        <f t="shared" si="90"/>
        <v>0</v>
      </c>
      <c r="AJ110" s="678"/>
      <c r="AL110" s="683" t="str">
        <f t="shared" si="66"/>
        <v>10p, high£, grid+</v>
      </c>
      <c r="AM110" s="679"/>
      <c r="AN110" s="677"/>
      <c r="AO110" s="677"/>
      <c r="AP110" s="677"/>
      <c r="AQ110" s="677"/>
      <c r="AR110" s="677"/>
      <c r="AS110" s="677"/>
      <c r="AT110" s="677"/>
      <c r="AU110" s="669">
        <f t="shared" si="91"/>
        <v>0</v>
      </c>
      <c r="AV110" s="678"/>
    </row>
    <row r="111" spans="1:48" x14ac:dyDescent="0.25">
      <c r="A111" s="181">
        <f t="shared" si="92"/>
        <v>0</v>
      </c>
      <c r="B111" s="182" t="str">
        <f t="shared" si="89"/>
        <v>12p, mid£, grid+</v>
      </c>
      <c r="C111" s="49" t="str">
        <f t="shared" si="93"/>
        <v>Blank site 3</v>
      </c>
      <c r="D111" s="39" t="str">
        <f t="shared" si="89"/>
        <v>12p/kWh, mid capex, high grid</v>
      </c>
      <c r="E111" s="59" t="str">
        <f>'Cash Flow Model'!J80</f>
        <v>n/a</v>
      </c>
      <c r="F111" s="59"/>
      <c r="G111" s="59"/>
      <c r="H111" s="85">
        <f>ROUND('Cash Flow Model'!J96,-2)</f>
        <v>0</v>
      </c>
      <c r="I111" s="84">
        <f>'Cash Flow Model'!J111</f>
        <v>0</v>
      </c>
      <c r="J111" s="98">
        <f>'Cash Flow Model'!J126</f>
        <v>0</v>
      </c>
      <c r="K111" s="84">
        <f>'Cash Flow Model'!J173</f>
        <v>0</v>
      </c>
      <c r="L111" s="109">
        <f>'Cash Flow Model'!J143</f>
        <v>0</v>
      </c>
      <c r="M111" s="116">
        <f>'Cash Flow Model'!J158</f>
        <v>0</v>
      </c>
      <c r="N111" s="109">
        <f>ROUND(($M111*'Global assumptions'!D20*10)-$L111,-2)</f>
        <v>0</v>
      </c>
      <c r="O111" s="118"/>
      <c r="W111" s="85">
        <f>'Cash Flow Model'!J188</f>
        <v>0</v>
      </c>
      <c r="X111" s="85">
        <f>'Cash Flow Model'!J203</f>
        <v>0</v>
      </c>
      <c r="Y111" s="666"/>
      <c r="Z111" s="686" t="str">
        <f t="shared" si="65"/>
        <v>12p, mid£, grid+</v>
      </c>
      <c r="AA111" s="13"/>
      <c r="AB111" s="6"/>
      <c r="AC111" s="677"/>
      <c r="AD111" s="677"/>
      <c r="AE111" s="677"/>
      <c r="AF111" s="677"/>
      <c r="AG111" s="677"/>
      <c r="AH111" s="677"/>
      <c r="AI111" s="669">
        <f t="shared" si="90"/>
        <v>0</v>
      </c>
      <c r="AJ111" s="678"/>
      <c r="AL111" s="683" t="str">
        <f t="shared" si="66"/>
        <v>12p, mid£, grid+</v>
      </c>
      <c r="AM111" s="679"/>
      <c r="AN111" s="677"/>
      <c r="AO111" s="677"/>
      <c r="AP111" s="677"/>
      <c r="AQ111" s="677"/>
      <c r="AR111" s="677"/>
      <c r="AS111" s="677"/>
      <c r="AT111" s="677"/>
      <c r="AU111" s="669">
        <f t="shared" si="91"/>
        <v>0</v>
      </c>
      <c r="AV111" s="678"/>
    </row>
    <row r="112" spans="1:48" x14ac:dyDescent="0.25">
      <c r="A112" s="181">
        <f t="shared" si="92"/>
        <v>0</v>
      </c>
      <c r="B112" s="183" t="str">
        <f t="shared" si="89"/>
        <v>12p, high£, grid+</v>
      </c>
      <c r="C112" s="50" t="str">
        <f t="shared" si="93"/>
        <v>Blank site 3</v>
      </c>
      <c r="D112" s="52" t="str">
        <f t="shared" si="89"/>
        <v>12p/kWh, high capex, high grid</v>
      </c>
      <c r="E112" s="61" t="str">
        <f>'Cash Flow Model'!J81</f>
        <v>n/a</v>
      </c>
      <c r="F112" s="61"/>
      <c r="G112" s="61"/>
      <c r="H112" s="87">
        <f>ROUND('Cash Flow Model'!J97,-2)</f>
        <v>0</v>
      </c>
      <c r="I112" s="88">
        <f>'Cash Flow Model'!J112</f>
        <v>0</v>
      </c>
      <c r="J112" s="99">
        <f>'Cash Flow Model'!J127</f>
        <v>0</v>
      </c>
      <c r="K112" s="88">
        <f>'Cash Flow Model'!J174</f>
        <v>0</v>
      </c>
      <c r="L112" s="110">
        <f>'Cash Flow Model'!J144</f>
        <v>0</v>
      </c>
      <c r="M112" s="117">
        <f>'Cash Flow Model'!J159</f>
        <v>0</v>
      </c>
      <c r="N112" s="110">
        <f>ROUND(($M112*'Global assumptions'!D20*10)-$L112,-2)</f>
        <v>0</v>
      </c>
      <c r="O112" s="118"/>
      <c r="W112" s="87">
        <f>'Cash Flow Model'!J189</f>
        <v>0</v>
      </c>
      <c r="X112" s="87">
        <f>'Cash Flow Model'!J204</f>
        <v>0</v>
      </c>
      <c r="Y112" s="666"/>
      <c r="Z112" s="686" t="str">
        <f t="shared" si="65"/>
        <v>12p, high£, grid+</v>
      </c>
      <c r="AA112" s="13"/>
      <c r="AB112" s="6"/>
      <c r="AC112" s="677"/>
      <c r="AD112" s="677"/>
      <c r="AE112" s="677"/>
      <c r="AF112" s="677"/>
      <c r="AG112" s="677"/>
      <c r="AH112" s="677"/>
      <c r="AI112" s="671">
        <f t="shared" si="90"/>
        <v>0</v>
      </c>
      <c r="AJ112" s="678"/>
      <c r="AL112" s="683" t="str">
        <f t="shared" si="66"/>
        <v>12p, high£, grid+</v>
      </c>
      <c r="AM112" s="679"/>
      <c r="AN112" s="677"/>
      <c r="AO112" s="677"/>
      <c r="AP112" s="677"/>
      <c r="AQ112" s="677"/>
      <c r="AR112" s="677"/>
      <c r="AS112" s="677"/>
      <c r="AT112" s="677"/>
      <c r="AU112" s="671">
        <f t="shared" si="91"/>
        <v>0</v>
      </c>
      <c r="AV112" s="678"/>
    </row>
    <row r="113" spans="1:54" x14ac:dyDescent="0.25">
      <c r="A113" s="184">
        <f>'Costs (by site)'!N4</f>
        <v>0</v>
      </c>
      <c r="B113" s="180" t="str">
        <f t="shared" ref="B113:D124" si="94">B101</f>
        <v>9p, low£</v>
      </c>
      <c r="C113" s="6" t="str">
        <f>'Costs (by site)'!N3</f>
        <v>Blank site 4</v>
      </c>
      <c r="D113" s="51" t="str">
        <f t="shared" si="94"/>
        <v>9p/kWh, favourable  capex</v>
      </c>
      <c r="E113" s="60" t="str">
        <f>'Cash Flow Model'!K70</f>
        <v>n/a</v>
      </c>
      <c r="F113" s="60"/>
      <c r="G113" s="60"/>
      <c r="H113" s="86">
        <f>ROUND('Cash Flow Model'!K86,-2)</f>
        <v>0</v>
      </c>
      <c r="I113" s="83">
        <f>'Cash Flow Model'!K101</f>
        <v>0</v>
      </c>
      <c r="J113" s="97">
        <f>'Cash Flow Model'!K116</f>
        <v>0</v>
      </c>
      <c r="K113" s="83">
        <f>'Cash Flow Model'!K163</f>
        <v>0</v>
      </c>
      <c r="L113" s="103">
        <f>'Cash Flow Model'!K133</f>
        <v>0</v>
      </c>
      <c r="M113" s="115">
        <f>'Cash Flow Model'!K148</f>
        <v>0</v>
      </c>
      <c r="N113" s="103">
        <f>ROUND(($M113*'Global assumptions'!D20*10)-$L113,-2)</f>
        <v>0</v>
      </c>
      <c r="O113" s="118"/>
      <c r="W113" s="86">
        <f>'Cash Flow Model'!K178</f>
        <v>0</v>
      </c>
      <c r="X113" s="86">
        <f>'Cash Flow Model'!K193</f>
        <v>0</v>
      </c>
      <c r="Y113" s="666"/>
      <c r="Z113" s="686" t="str">
        <f t="shared" si="65"/>
        <v>9p, low£</v>
      </c>
      <c r="AA113" s="13"/>
      <c r="AB113" s="6"/>
      <c r="AC113" s="677"/>
      <c r="AD113" s="677"/>
      <c r="AE113" s="677"/>
      <c r="AF113" s="677"/>
      <c r="AG113" s="677"/>
      <c r="AH113" s="677"/>
      <c r="AI113" s="677"/>
      <c r="AJ113" s="670">
        <f t="shared" ref="AJ113:AJ124" si="95">W113</f>
        <v>0</v>
      </c>
      <c r="AK113" s="666"/>
      <c r="AL113" s="683" t="str">
        <f t="shared" si="66"/>
        <v>9p, low£</v>
      </c>
      <c r="AM113" s="679"/>
      <c r="AN113" s="677"/>
      <c r="AO113" s="677"/>
      <c r="AP113" s="677"/>
      <c r="AQ113" s="677"/>
      <c r="AR113" s="677"/>
      <c r="AS113" s="677"/>
      <c r="AT113" s="677"/>
      <c r="AU113" s="677"/>
      <c r="AV113" s="670">
        <f t="shared" ref="AV113:AV124" si="96">X113</f>
        <v>0</v>
      </c>
    </row>
    <row r="114" spans="1:54" x14ac:dyDescent="0.25">
      <c r="A114" s="181">
        <f>A113</f>
        <v>0</v>
      </c>
      <c r="B114" s="182" t="str">
        <f t="shared" si="94"/>
        <v>9p, low£</v>
      </c>
      <c r="C114" s="49" t="str">
        <f>C113</f>
        <v>Blank site 4</v>
      </c>
      <c r="D114" s="39" t="str">
        <f t="shared" si="94"/>
        <v>9p/kWh, high capex</v>
      </c>
      <c r="E114" s="59" t="str">
        <f>'Cash Flow Model'!K71</f>
        <v>n/a</v>
      </c>
      <c r="F114" s="59"/>
      <c r="G114" s="59"/>
      <c r="H114" s="85">
        <f>ROUND('Cash Flow Model'!K87,-2)</f>
        <v>0</v>
      </c>
      <c r="I114" s="84">
        <f>'Cash Flow Model'!K102</f>
        <v>0</v>
      </c>
      <c r="J114" s="98">
        <f>'Cash Flow Model'!K117</f>
        <v>0</v>
      </c>
      <c r="K114" s="84">
        <f>'Cash Flow Model'!K164</f>
        <v>0</v>
      </c>
      <c r="L114" s="109">
        <f>'Cash Flow Model'!K134</f>
        <v>0</v>
      </c>
      <c r="M114" s="116">
        <f>'Cash Flow Model'!K149</f>
        <v>0</v>
      </c>
      <c r="N114" s="109">
        <f>ROUND(($M114*'Global assumptions'!D20*10)-$L114,-2)</f>
        <v>0</v>
      </c>
      <c r="O114" s="118"/>
      <c r="W114" s="85">
        <f>'Cash Flow Model'!K179</f>
        <v>0</v>
      </c>
      <c r="X114" s="85">
        <f>'Cash Flow Model'!K194</f>
        <v>0</v>
      </c>
      <c r="Y114" s="666"/>
      <c r="Z114" s="686" t="str">
        <f t="shared" si="65"/>
        <v>9p, low£</v>
      </c>
      <c r="AA114" s="13"/>
      <c r="AB114" s="6"/>
      <c r="AC114" s="677"/>
      <c r="AD114" s="677"/>
      <c r="AE114" s="677"/>
      <c r="AF114" s="677"/>
      <c r="AG114" s="677"/>
      <c r="AH114" s="677"/>
      <c r="AI114" s="677"/>
      <c r="AJ114" s="669">
        <f t="shared" si="95"/>
        <v>0</v>
      </c>
      <c r="AK114" s="666"/>
      <c r="AL114" s="683" t="str">
        <f t="shared" si="66"/>
        <v>9p, low£</v>
      </c>
      <c r="AM114" s="679"/>
      <c r="AN114" s="677"/>
      <c r="AO114" s="677"/>
      <c r="AP114" s="677"/>
      <c r="AQ114" s="677"/>
      <c r="AR114" s="677"/>
      <c r="AS114" s="677"/>
      <c r="AT114" s="677"/>
      <c r="AU114" s="677"/>
      <c r="AV114" s="669">
        <f t="shared" si="96"/>
        <v>0</v>
      </c>
    </row>
    <row r="115" spans="1:54" x14ac:dyDescent="0.25">
      <c r="A115" s="181">
        <f>A113</f>
        <v>0</v>
      </c>
      <c r="B115" s="182" t="str">
        <f t="shared" si="94"/>
        <v>10p, low£</v>
      </c>
      <c r="C115" s="49" t="str">
        <f>C113</f>
        <v>Blank site 4</v>
      </c>
      <c r="D115" s="39" t="str">
        <f t="shared" si="94"/>
        <v>10p/kWh, favourable  capex</v>
      </c>
      <c r="E115" s="59" t="str">
        <f>'Cash Flow Model'!K72</f>
        <v>n/a</v>
      </c>
      <c r="F115" s="59"/>
      <c r="G115" s="59"/>
      <c r="H115" s="85">
        <f>ROUND('Cash Flow Model'!K88,-2)</f>
        <v>0</v>
      </c>
      <c r="I115" s="84">
        <f>'Cash Flow Model'!K103</f>
        <v>0</v>
      </c>
      <c r="J115" s="98">
        <f>'Cash Flow Model'!K118</f>
        <v>0</v>
      </c>
      <c r="K115" s="84">
        <f>'Cash Flow Model'!K165</f>
        <v>0</v>
      </c>
      <c r="L115" s="109">
        <f>'Cash Flow Model'!K135</f>
        <v>0</v>
      </c>
      <c r="M115" s="116">
        <f>'Cash Flow Model'!K150</f>
        <v>0</v>
      </c>
      <c r="N115" s="109">
        <f>ROUND(($M115*'Global assumptions'!D20*10)-$L115,-2)</f>
        <v>0</v>
      </c>
      <c r="O115" s="118"/>
      <c r="W115" s="85">
        <f>'Cash Flow Model'!K180</f>
        <v>0</v>
      </c>
      <c r="X115" s="85">
        <f>'Cash Flow Model'!K195</f>
        <v>0</v>
      </c>
      <c r="Y115" s="666"/>
      <c r="Z115" s="686" t="str">
        <f t="shared" si="65"/>
        <v>10p, low£</v>
      </c>
      <c r="AA115" s="13"/>
      <c r="AB115" s="6"/>
      <c r="AC115" s="677"/>
      <c r="AD115" s="677"/>
      <c r="AE115" s="677"/>
      <c r="AF115" s="677"/>
      <c r="AG115" s="677"/>
      <c r="AH115" s="677"/>
      <c r="AI115" s="677"/>
      <c r="AJ115" s="669">
        <f t="shared" si="95"/>
        <v>0</v>
      </c>
      <c r="AK115" s="666"/>
      <c r="AL115" s="683" t="str">
        <f t="shared" si="66"/>
        <v>10p, low£</v>
      </c>
      <c r="AM115" s="679"/>
      <c r="AN115" s="677"/>
      <c r="AO115" s="677"/>
      <c r="AP115" s="677"/>
      <c r="AQ115" s="677"/>
      <c r="AR115" s="677"/>
      <c r="AS115" s="677"/>
      <c r="AT115" s="677"/>
      <c r="AU115" s="677"/>
      <c r="AV115" s="669">
        <f t="shared" si="96"/>
        <v>0</v>
      </c>
    </row>
    <row r="116" spans="1:54" x14ac:dyDescent="0.25">
      <c r="A116" s="181">
        <f t="shared" ref="A116:A124" si="97">A115</f>
        <v>0</v>
      </c>
      <c r="B116" s="182" t="str">
        <f t="shared" si="94"/>
        <v>10p, high£</v>
      </c>
      <c r="C116" s="49" t="str">
        <f t="shared" ref="C116:C124" si="98">C115</f>
        <v>Blank site 4</v>
      </c>
      <c r="D116" s="39" t="str">
        <f t="shared" si="94"/>
        <v>10p/kWh, high capex</v>
      </c>
      <c r="E116" s="59" t="str">
        <f>'Cash Flow Model'!K73</f>
        <v>n/a</v>
      </c>
      <c r="F116" s="59"/>
      <c r="G116" s="59"/>
      <c r="H116" s="85">
        <f>ROUND('Cash Flow Model'!K89,-2)</f>
        <v>0</v>
      </c>
      <c r="I116" s="84">
        <f>'Cash Flow Model'!K104</f>
        <v>0</v>
      </c>
      <c r="J116" s="98">
        <f>'Cash Flow Model'!K119</f>
        <v>0</v>
      </c>
      <c r="K116" s="84">
        <f>'Cash Flow Model'!K166</f>
        <v>0</v>
      </c>
      <c r="L116" s="109">
        <f>'Cash Flow Model'!K136</f>
        <v>0</v>
      </c>
      <c r="M116" s="116">
        <f>'Cash Flow Model'!K151</f>
        <v>0</v>
      </c>
      <c r="N116" s="109">
        <f>ROUND(($M116*'Global assumptions'!D20*10)-$L116,-2)</f>
        <v>0</v>
      </c>
      <c r="O116" s="118"/>
      <c r="W116" s="85">
        <f>'Cash Flow Model'!K181</f>
        <v>0</v>
      </c>
      <c r="X116" s="85">
        <f>'Cash Flow Model'!K196</f>
        <v>0</v>
      </c>
      <c r="Y116" s="666"/>
      <c r="Z116" s="686" t="str">
        <f t="shared" si="65"/>
        <v>10p, high£</v>
      </c>
      <c r="AA116" s="13"/>
      <c r="AB116" s="6"/>
      <c r="AC116" s="677"/>
      <c r="AD116" s="677"/>
      <c r="AE116" s="677"/>
      <c r="AF116" s="677"/>
      <c r="AG116" s="677"/>
      <c r="AH116" s="677"/>
      <c r="AI116" s="677"/>
      <c r="AJ116" s="669">
        <f t="shared" si="95"/>
        <v>0</v>
      </c>
      <c r="AK116" s="666"/>
      <c r="AL116" s="683" t="str">
        <f t="shared" si="66"/>
        <v>10p, high£</v>
      </c>
      <c r="AM116" s="679"/>
      <c r="AN116" s="677"/>
      <c r="AO116" s="677"/>
      <c r="AP116" s="677"/>
      <c r="AQ116" s="677"/>
      <c r="AR116" s="677"/>
      <c r="AS116" s="677"/>
      <c r="AT116" s="677"/>
      <c r="AU116" s="677"/>
      <c r="AV116" s="669">
        <f t="shared" si="96"/>
        <v>0</v>
      </c>
    </row>
    <row r="117" spans="1:54" x14ac:dyDescent="0.25">
      <c r="A117" s="181">
        <f t="shared" si="97"/>
        <v>0</v>
      </c>
      <c r="B117" s="182" t="str">
        <f t="shared" si="94"/>
        <v>12p, low£</v>
      </c>
      <c r="C117" s="49" t="str">
        <f t="shared" si="98"/>
        <v>Blank site 4</v>
      </c>
      <c r="D117" s="39" t="str">
        <f t="shared" si="94"/>
        <v>12p/kWh, favourable  capex</v>
      </c>
      <c r="E117" s="59" t="str">
        <f>'Cash Flow Model'!K74</f>
        <v>n/a</v>
      </c>
      <c r="F117" s="59"/>
      <c r="G117" s="59"/>
      <c r="H117" s="85">
        <f>ROUND('Cash Flow Model'!K90,-2)</f>
        <v>0</v>
      </c>
      <c r="I117" s="84">
        <f>'Cash Flow Model'!K105</f>
        <v>0</v>
      </c>
      <c r="J117" s="98">
        <f>'Cash Flow Model'!K120</f>
        <v>0</v>
      </c>
      <c r="K117" s="84">
        <f>'Cash Flow Model'!K167</f>
        <v>0</v>
      </c>
      <c r="L117" s="109">
        <f>'Cash Flow Model'!K137</f>
        <v>0</v>
      </c>
      <c r="M117" s="116">
        <f>'Cash Flow Model'!K152</f>
        <v>0</v>
      </c>
      <c r="N117" s="109">
        <f>ROUND(($M117*'Global assumptions'!D20*10)-$L117,-2)</f>
        <v>0</v>
      </c>
      <c r="O117" s="118"/>
      <c r="W117" s="85">
        <f>'Cash Flow Model'!K182</f>
        <v>0</v>
      </c>
      <c r="X117" s="85">
        <f>'Cash Flow Model'!K197</f>
        <v>0</v>
      </c>
      <c r="Y117" s="666"/>
      <c r="Z117" s="686" t="str">
        <f t="shared" si="65"/>
        <v>12p, low£</v>
      </c>
      <c r="AA117" s="13"/>
      <c r="AB117" s="6"/>
      <c r="AC117" s="677"/>
      <c r="AD117" s="677"/>
      <c r="AE117" s="677"/>
      <c r="AF117" s="677"/>
      <c r="AG117" s="677"/>
      <c r="AH117" s="677"/>
      <c r="AI117" s="677"/>
      <c r="AJ117" s="669">
        <f t="shared" si="95"/>
        <v>0</v>
      </c>
      <c r="AK117" s="666"/>
      <c r="AL117" s="683" t="str">
        <f t="shared" si="66"/>
        <v>12p, low£</v>
      </c>
      <c r="AM117" s="679"/>
      <c r="AN117" s="677"/>
      <c r="AO117" s="677"/>
      <c r="AP117" s="677"/>
      <c r="AQ117" s="677"/>
      <c r="AR117" s="677"/>
      <c r="AS117" s="677"/>
      <c r="AT117" s="677"/>
      <c r="AU117" s="677"/>
      <c r="AV117" s="669">
        <f t="shared" si="96"/>
        <v>0</v>
      </c>
    </row>
    <row r="118" spans="1:54" x14ac:dyDescent="0.25">
      <c r="A118" s="181">
        <f t="shared" si="97"/>
        <v>0</v>
      </c>
      <c r="B118" s="182" t="str">
        <f t="shared" si="94"/>
        <v>12p, low£</v>
      </c>
      <c r="C118" s="49" t="str">
        <f t="shared" si="98"/>
        <v>Blank site 4</v>
      </c>
      <c r="D118" s="39" t="str">
        <f t="shared" si="94"/>
        <v>12p/kWh, high capex</v>
      </c>
      <c r="E118" s="59" t="str">
        <f>'Cash Flow Model'!K75</f>
        <v>n/a</v>
      </c>
      <c r="F118" s="59"/>
      <c r="G118" s="59"/>
      <c r="H118" s="85">
        <f>ROUND('Cash Flow Model'!K91,-2)</f>
        <v>0</v>
      </c>
      <c r="I118" s="84">
        <f>'Cash Flow Model'!K106</f>
        <v>0</v>
      </c>
      <c r="J118" s="98">
        <f>'Cash Flow Model'!K121</f>
        <v>0</v>
      </c>
      <c r="K118" s="84">
        <f>'Cash Flow Model'!K168</f>
        <v>0</v>
      </c>
      <c r="L118" s="109">
        <f>'Cash Flow Model'!K138</f>
        <v>0</v>
      </c>
      <c r="M118" s="116">
        <f>'Cash Flow Model'!K153</f>
        <v>0</v>
      </c>
      <c r="N118" s="109">
        <f>ROUND(($M118*'Global assumptions'!D20*10)-$L118,-2)</f>
        <v>0</v>
      </c>
      <c r="O118" s="118"/>
      <c r="W118" s="85">
        <f>'Cash Flow Model'!K183</f>
        <v>0</v>
      </c>
      <c r="X118" s="85">
        <f>'Cash Flow Model'!K198</f>
        <v>0</v>
      </c>
      <c r="Y118" s="666"/>
      <c r="Z118" s="686" t="str">
        <f t="shared" si="65"/>
        <v>12p, low£</v>
      </c>
      <c r="AA118" s="13"/>
      <c r="AB118" s="6"/>
      <c r="AC118" s="677"/>
      <c r="AD118" s="677"/>
      <c r="AE118" s="677"/>
      <c r="AF118" s="677"/>
      <c r="AG118" s="677"/>
      <c r="AH118" s="677"/>
      <c r="AI118" s="677"/>
      <c r="AJ118" s="669">
        <f t="shared" si="95"/>
        <v>0</v>
      </c>
      <c r="AK118" s="666"/>
      <c r="AL118" s="683" t="str">
        <f t="shared" si="66"/>
        <v>12p, low£</v>
      </c>
      <c r="AM118" s="679"/>
      <c r="AN118" s="677"/>
      <c r="AO118" s="677"/>
      <c r="AP118" s="677"/>
      <c r="AQ118" s="677"/>
      <c r="AR118" s="677"/>
      <c r="AS118" s="677"/>
      <c r="AT118" s="677"/>
      <c r="AU118" s="677"/>
      <c r="AV118" s="669">
        <f t="shared" si="96"/>
        <v>0</v>
      </c>
    </row>
    <row r="119" spans="1:54" x14ac:dyDescent="0.25">
      <c r="A119" s="181">
        <f t="shared" si="97"/>
        <v>0</v>
      </c>
      <c r="B119" s="182" t="str">
        <f t="shared" si="94"/>
        <v>9p, mid£, grid+</v>
      </c>
      <c r="C119" s="49" t="str">
        <f t="shared" si="98"/>
        <v>Blank site 4</v>
      </c>
      <c r="D119" s="39" t="str">
        <f t="shared" si="94"/>
        <v>9p/kWh, mid capex, high grid</v>
      </c>
      <c r="E119" s="59" t="str">
        <f>'Cash Flow Model'!K76</f>
        <v>n/a</v>
      </c>
      <c r="F119" s="59"/>
      <c r="G119" s="59"/>
      <c r="H119" s="85">
        <f>ROUND('Cash Flow Model'!K92,-2)</f>
        <v>0</v>
      </c>
      <c r="I119" s="84">
        <f>'Cash Flow Model'!K107</f>
        <v>0</v>
      </c>
      <c r="J119" s="98">
        <f>'Cash Flow Model'!K122</f>
        <v>0</v>
      </c>
      <c r="K119" s="84">
        <f>'Cash Flow Model'!K169</f>
        <v>0</v>
      </c>
      <c r="L119" s="109">
        <f>'Cash Flow Model'!K139</f>
        <v>0</v>
      </c>
      <c r="M119" s="116">
        <f>'Cash Flow Model'!K154</f>
        <v>0</v>
      </c>
      <c r="N119" s="109">
        <f>ROUND(($M119*'Global assumptions'!D20*10)-$L119,-2)</f>
        <v>0</v>
      </c>
      <c r="O119" s="118"/>
      <c r="W119" s="85">
        <f>'Cash Flow Model'!K184</f>
        <v>0</v>
      </c>
      <c r="X119" s="85">
        <f>'Cash Flow Model'!K199</f>
        <v>0</v>
      </c>
      <c r="Y119" s="666"/>
      <c r="Z119" s="686" t="str">
        <f t="shared" si="65"/>
        <v>9p, mid£, grid+</v>
      </c>
      <c r="AA119" s="13"/>
      <c r="AB119" s="6"/>
      <c r="AC119" s="677"/>
      <c r="AD119" s="677"/>
      <c r="AE119" s="677"/>
      <c r="AF119" s="677"/>
      <c r="AG119" s="677"/>
      <c r="AH119" s="677"/>
      <c r="AI119" s="677"/>
      <c r="AJ119" s="669">
        <f t="shared" si="95"/>
        <v>0</v>
      </c>
      <c r="AK119" s="666"/>
      <c r="AL119" s="683" t="str">
        <f t="shared" si="66"/>
        <v>9p, mid£, grid+</v>
      </c>
      <c r="AM119" s="679"/>
      <c r="AN119" s="677"/>
      <c r="AO119" s="677"/>
      <c r="AP119" s="677"/>
      <c r="AQ119" s="677"/>
      <c r="AR119" s="677"/>
      <c r="AS119" s="677"/>
      <c r="AT119" s="677"/>
      <c r="AU119" s="677"/>
      <c r="AV119" s="669">
        <f t="shared" si="96"/>
        <v>0</v>
      </c>
    </row>
    <row r="120" spans="1:54" x14ac:dyDescent="0.25">
      <c r="A120" s="181">
        <f t="shared" si="97"/>
        <v>0</v>
      </c>
      <c r="B120" s="182" t="str">
        <f t="shared" si="94"/>
        <v>9p, high£, grid+</v>
      </c>
      <c r="C120" s="49" t="str">
        <f t="shared" si="98"/>
        <v>Blank site 4</v>
      </c>
      <c r="D120" s="39" t="str">
        <f t="shared" si="94"/>
        <v>9p/kWh, high capex, high grid</v>
      </c>
      <c r="E120" s="59" t="str">
        <f>'Cash Flow Model'!K77</f>
        <v>n/a</v>
      </c>
      <c r="F120" s="59"/>
      <c r="G120" s="59"/>
      <c r="H120" s="85">
        <f>ROUND('Cash Flow Model'!K93,-2)</f>
        <v>0</v>
      </c>
      <c r="I120" s="84">
        <f>'Cash Flow Model'!K108</f>
        <v>0</v>
      </c>
      <c r="J120" s="98">
        <f>'Cash Flow Model'!K123</f>
        <v>0</v>
      </c>
      <c r="K120" s="84">
        <f>'Cash Flow Model'!K170</f>
        <v>0</v>
      </c>
      <c r="L120" s="109">
        <f>'Cash Flow Model'!K140</f>
        <v>0</v>
      </c>
      <c r="M120" s="116">
        <f>'Cash Flow Model'!K155</f>
        <v>0</v>
      </c>
      <c r="N120" s="109">
        <f>ROUND(($M120*'Global assumptions'!D20*10)-$L120,-2)</f>
        <v>0</v>
      </c>
      <c r="O120" s="118"/>
      <c r="W120" s="85">
        <f>'Cash Flow Model'!K185</f>
        <v>0</v>
      </c>
      <c r="X120" s="85">
        <f>'Cash Flow Model'!K200</f>
        <v>0</v>
      </c>
      <c r="Y120" s="666"/>
      <c r="Z120" s="686" t="str">
        <f t="shared" si="65"/>
        <v>9p, high£, grid+</v>
      </c>
      <c r="AA120" s="13"/>
      <c r="AB120" s="6"/>
      <c r="AC120" s="677"/>
      <c r="AD120" s="677"/>
      <c r="AE120" s="677"/>
      <c r="AF120" s="677"/>
      <c r="AG120" s="677"/>
      <c r="AH120" s="677"/>
      <c r="AI120" s="677"/>
      <c r="AJ120" s="669">
        <f t="shared" si="95"/>
        <v>0</v>
      </c>
      <c r="AK120" s="666"/>
      <c r="AL120" s="683" t="str">
        <f t="shared" si="66"/>
        <v>9p, high£, grid+</v>
      </c>
      <c r="AM120" s="679"/>
      <c r="AN120" s="677"/>
      <c r="AO120" s="677"/>
      <c r="AP120" s="677"/>
      <c r="AQ120" s="677"/>
      <c r="AR120" s="677"/>
      <c r="AS120" s="677"/>
      <c r="AT120" s="677"/>
      <c r="AU120" s="677"/>
      <c r="AV120" s="669">
        <f t="shared" si="96"/>
        <v>0</v>
      </c>
    </row>
    <row r="121" spans="1:54" x14ac:dyDescent="0.25">
      <c r="A121" s="181">
        <f t="shared" si="97"/>
        <v>0</v>
      </c>
      <c r="B121" s="182" t="str">
        <f t="shared" si="94"/>
        <v>10p, mid£, grid+</v>
      </c>
      <c r="C121" s="49" t="str">
        <f t="shared" si="98"/>
        <v>Blank site 4</v>
      </c>
      <c r="D121" s="39" t="str">
        <f t="shared" si="94"/>
        <v>10p/kWh, mid capex, high grid</v>
      </c>
      <c r="E121" s="59" t="str">
        <f>'Cash Flow Model'!K78</f>
        <v>n/a</v>
      </c>
      <c r="F121" s="59"/>
      <c r="G121" s="59"/>
      <c r="H121" s="85">
        <f>ROUND('Cash Flow Model'!K94,-2)</f>
        <v>0</v>
      </c>
      <c r="I121" s="84">
        <f>'Cash Flow Model'!K109</f>
        <v>0</v>
      </c>
      <c r="J121" s="98">
        <f>'Cash Flow Model'!K124</f>
        <v>0</v>
      </c>
      <c r="K121" s="84">
        <f>'Cash Flow Model'!K171</f>
        <v>0</v>
      </c>
      <c r="L121" s="109">
        <f>'Cash Flow Model'!K141</f>
        <v>0</v>
      </c>
      <c r="M121" s="116">
        <f>'Cash Flow Model'!K156</f>
        <v>0</v>
      </c>
      <c r="N121" s="109">
        <f>ROUND(($M121*'Global assumptions'!D20*10)-$L121,-2)</f>
        <v>0</v>
      </c>
      <c r="O121" s="118"/>
      <c r="W121" s="85">
        <f>'Cash Flow Model'!K186</f>
        <v>0</v>
      </c>
      <c r="X121" s="85">
        <f>'Cash Flow Model'!K201</f>
        <v>0</v>
      </c>
      <c r="Y121" s="666"/>
      <c r="Z121" s="686" t="str">
        <f t="shared" si="65"/>
        <v>10p, mid£, grid+</v>
      </c>
      <c r="AA121" s="13"/>
      <c r="AB121" s="6"/>
      <c r="AC121" s="677"/>
      <c r="AD121" s="677"/>
      <c r="AE121" s="677"/>
      <c r="AF121" s="677"/>
      <c r="AG121" s="677"/>
      <c r="AH121" s="677"/>
      <c r="AI121" s="677"/>
      <c r="AJ121" s="669">
        <f t="shared" si="95"/>
        <v>0</v>
      </c>
      <c r="AK121" s="666"/>
      <c r="AL121" s="683" t="str">
        <f t="shared" si="66"/>
        <v>10p, mid£, grid+</v>
      </c>
      <c r="AM121" s="679"/>
      <c r="AN121" s="677"/>
      <c r="AO121" s="677"/>
      <c r="AP121" s="677"/>
      <c r="AQ121" s="677"/>
      <c r="AR121" s="677"/>
      <c r="AS121" s="677"/>
      <c r="AT121" s="677"/>
      <c r="AU121" s="677"/>
      <c r="AV121" s="669">
        <f t="shared" si="96"/>
        <v>0</v>
      </c>
    </row>
    <row r="122" spans="1:54" x14ac:dyDescent="0.25">
      <c r="A122" s="181">
        <f t="shared" si="97"/>
        <v>0</v>
      </c>
      <c r="B122" s="182" t="str">
        <f t="shared" si="94"/>
        <v>10p, high£, grid+</v>
      </c>
      <c r="C122" s="49" t="str">
        <f t="shared" si="98"/>
        <v>Blank site 4</v>
      </c>
      <c r="D122" s="39" t="str">
        <f t="shared" si="94"/>
        <v>10p/kWh, high capex, high grid</v>
      </c>
      <c r="E122" s="59" t="str">
        <f>'Cash Flow Model'!K79</f>
        <v>n/a</v>
      </c>
      <c r="F122" s="59"/>
      <c r="G122" s="59"/>
      <c r="H122" s="85">
        <f>ROUND('Cash Flow Model'!K95,-2)</f>
        <v>0</v>
      </c>
      <c r="I122" s="84">
        <f>'Cash Flow Model'!K110</f>
        <v>0</v>
      </c>
      <c r="J122" s="98">
        <f>'Cash Flow Model'!K125</f>
        <v>0</v>
      </c>
      <c r="K122" s="84">
        <f>'Cash Flow Model'!K172</f>
        <v>0</v>
      </c>
      <c r="L122" s="109">
        <f>'Cash Flow Model'!K142</f>
        <v>0</v>
      </c>
      <c r="M122" s="116">
        <f>'Cash Flow Model'!K157</f>
        <v>0</v>
      </c>
      <c r="N122" s="109">
        <f>ROUND(($M122*'Global assumptions'!D20*10)-$L122,-2)</f>
        <v>0</v>
      </c>
      <c r="O122" s="118"/>
      <c r="W122" s="85">
        <f>'Cash Flow Model'!K187</f>
        <v>0</v>
      </c>
      <c r="X122" s="85">
        <f>'Cash Flow Model'!K202</f>
        <v>0</v>
      </c>
      <c r="Y122" s="666"/>
      <c r="Z122" s="686" t="str">
        <f t="shared" si="65"/>
        <v>10p, high£, grid+</v>
      </c>
      <c r="AA122" s="13"/>
      <c r="AB122" s="6"/>
      <c r="AC122" s="677"/>
      <c r="AD122" s="677"/>
      <c r="AE122" s="677"/>
      <c r="AF122" s="677"/>
      <c r="AG122" s="677"/>
      <c r="AH122" s="677"/>
      <c r="AI122" s="677"/>
      <c r="AJ122" s="669">
        <f t="shared" si="95"/>
        <v>0</v>
      </c>
      <c r="AK122" s="666"/>
      <c r="AL122" s="683" t="str">
        <f t="shared" si="66"/>
        <v>10p, high£, grid+</v>
      </c>
      <c r="AM122" s="679"/>
      <c r="AN122" s="677"/>
      <c r="AO122" s="677"/>
      <c r="AP122" s="677"/>
      <c r="AQ122" s="677"/>
      <c r="AR122" s="677"/>
      <c r="AS122" s="677"/>
      <c r="AT122" s="677"/>
      <c r="AU122" s="677"/>
      <c r="AV122" s="669">
        <f t="shared" si="96"/>
        <v>0</v>
      </c>
    </row>
    <row r="123" spans="1:54" x14ac:dyDescent="0.25">
      <c r="A123" s="181">
        <f t="shared" si="97"/>
        <v>0</v>
      </c>
      <c r="B123" s="182" t="str">
        <f t="shared" si="94"/>
        <v>12p, mid£, grid+</v>
      </c>
      <c r="C123" s="49" t="str">
        <f t="shared" si="98"/>
        <v>Blank site 4</v>
      </c>
      <c r="D123" s="39" t="str">
        <f t="shared" si="94"/>
        <v>12p/kWh, mid capex, high grid</v>
      </c>
      <c r="E123" s="59" t="str">
        <f>'Cash Flow Model'!K80</f>
        <v>n/a</v>
      </c>
      <c r="F123" s="59"/>
      <c r="G123" s="59"/>
      <c r="H123" s="85">
        <f>ROUND('Cash Flow Model'!K96,-2)</f>
        <v>0</v>
      </c>
      <c r="I123" s="84">
        <f>'Cash Flow Model'!K111</f>
        <v>0</v>
      </c>
      <c r="J123" s="98">
        <f>'Cash Flow Model'!K126</f>
        <v>0</v>
      </c>
      <c r="K123" s="84">
        <f>'Cash Flow Model'!K173</f>
        <v>0</v>
      </c>
      <c r="L123" s="109">
        <f>'Cash Flow Model'!K143</f>
        <v>0</v>
      </c>
      <c r="M123" s="116">
        <f>'Cash Flow Model'!K158</f>
        <v>0</v>
      </c>
      <c r="N123" s="109">
        <f>ROUND(($M123*'Global assumptions'!D20*10)-$L123,-2)</f>
        <v>0</v>
      </c>
      <c r="O123" s="118"/>
      <c r="W123" s="85">
        <f>'Cash Flow Model'!K188</f>
        <v>0</v>
      </c>
      <c r="X123" s="85">
        <f>'Cash Flow Model'!K203</f>
        <v>0</v>
      </c>
      <c r="Y123" s="666"/>
      <c r="Z123" s="686" t="str">
        <f t="shared" si="65"/>
        <v>12p, mid£, grid+</v>
      </c>
      <c r="AA123" s="13"/>
      <c r="AB123" s="6"/>
      <c r="AC123" s="677"/>
      <c r="AD123" s="677"/>
      <c r="AE123" s="677"/>
      <c r="AF123" s="677"/>
      <c r="AG123" s="677"/>
      <c r="AH123" s="677"/>
      <c r="AI123" s="677"/>
      <c r="AJ123" s="669">
        <f t="shared" si="95"/>
        <v>0</v>
      </c>
      <c r="AK123" s="666"/>
      <c r="AL123" s="683" t="str">
        <f t="shared" si="66"/>
        <v>12p, mid£, grid+</v>
      </c>
      <c r="AM123" s="679"/>
      <c r="AN123" s="677"/>
      <c r="AO123" s="677"/>
      <c r="AP123" s="677"/>
      <c r="AQ123" s="677"/>
      <c r="AR123" s="677"/>
      <c r="AS123" s="677"/>
      <c r="AT123" s="677"/>
      <c r="AU123" s="677"/>
      <c r="AV123" s="669">
        <f t="shared" si="96"/>
        <v>0</v>
      </c>
    </row>
    <row r="124" spans="1:54" x14ac:dyDescent="0.25">
      <c r="A124" s="181">
        <f t="shared" si="97"/>
        <v>0</v>
      </c>
      <c r="B124" s="183" t="str">
        <f t="shared" si="94"/>
        <v>12p, high£, grid+</v>
      </c>
      <c r="C124" s="50" t="str">
        <f t="shared" si="98"/>
        <v>Blank site 4</v>
      </c>
      <c r="D124" s="52" t="str">
        <f t="shared" si="94"/>
        <v>12p/kWh, high capex, high grid</v>
      </c>
      <c r="E124" s="61" t="str">
        <f>'Cash Flow Model'!K81</f>
        <v>n/a</v>
      </c>
      <c r="F124" s="61"/>
      <c r="G124" s="61"/>
      <c r="H124" s="87">
        <f>ROUND('Cash Flow Model'!K97,-2)</f>
        <v>0</v>
      </c>
      <c r="I124" s="88">
        <f>'Cash Flow Model'!K112</f>
        <v>0</v>
      </c>
      <c r="J124" s="99">
        <f>'Cash Flow Model'!K127</f>
        <v>0</v>
      </c>
      <c r="K124" s="88">
        <f>'Cash Flow Model'!K174</f>
        <v>0</v>
      </c>
      <c r="L124" s="110">
        <f>'Cash Flow Model'!K144</f>
        <v>0</v>
      </c>
      <c r="M124" s="117">
        <f>'Cash Flow Model'!K159</f>
        <v>0</v>
      </c>
      <c r="N124" s="110">
        <f>ROUND(($M124*'Global assumptions'!D20*10)-$L124,-2)</f>
        <v>0</v>
      </c>
      <c r="O124" s="118"/>
      <c r="W124" s="87">
        <f>'Cash Flow Model'!K189</f>
        <v>0</v>
      </c>
      <c r="X124" s="87">
        <f>'Cash Flow Model'!K204</f>
        <v>0</v>
      </c>
      <c r="Y124" s="666"/>
      <c r="Z124" s="687" t="str">
        <f t="shared" si="65"/>
        <v>12p, high£, grid+</v>
      </c>
      <c r="AA124" s="19"/>
      <c r="AB124" s="10"/>
      <c r="AC124" s="681"/>
      <c r="AD124" s="681"/>
      <c r="AE124" s="681"/>
      <c r="AF124" s="681"/>
      <c r="AG124" s="681"/>
      <c r="AH124" s="681"/>
      <c r="AI124" s="681"/>
      <c r="AJ124" s="671">
        <f t="shared" si="95"/>
        <v>0</v>
      </c>
      <c r="AK124" s="666"/>
      <c r="AL124" s="684" t="str">
        <f t="shared" si="66"/>
        <v>12p, high£, grid+</v>
      </c>
      <c r="AM124" s="680"/>
      <c r="AN124" s="681"/>
      <c r="AO124" s="681"/>
      <c r="AP124" s="681"/>
      <c r="AQ124" s="681"/>
      <c r="AR124" s="681"/>
      <c r="AS124" s="681"/>
      <c r="AT124" s="681"/>
      <c r="AU124" s="681"/>
      <c r="AV124" s="671">
        <f t="shared" si="96"/>
        <v>0</v>
      </c>
    </row>
    <row r="125" spans="1:54" x14ac:dyDescent="0.25">
      <c r="C125" s="6"/>
      <c r="D125" s="6"/>
      <c r="E125" s="6"/>
      <c r="F125" s="6"/>
      <c r="G125" s="6"/>
      <c r="H125" s="89"/>
      <c r="I125" s="89"/>
      <c r="J125" s="100"/>
      <c r="K125" s="89"/>
      <c r="L125" s="106"/>
      <c r="M125" s="113"/>
      <c r="N125" s="113"/>
    </row>
    <row r="126" spans="1:54" s="12" customFormat="1" ht="21" x14ac:dyDescent="0.4">
      <c r="A126" s="53"/>
      <c r="B126" s="53"/>
      <c r="C126" s="23" t="s">
        <v>77</v>
      </c>
      <c r="D126" s="11"/>
      <c r="E126" s="11"/>
      <c r="F126" s="11"/>
      <c r="G126" s="11"/>
      <c r="H126" s="90"/>
      <c r="I126" s="90"/>
      <c r="J126" s="100"/>
      <c r="K126" s="90"/>
      <c r="L126" s="106"/>
      <c r="M126" s="113"/>
      <c r="N126" s="113"/>
      <c r="P126" s="5"/>
      <c r="Q126" s="5"/>
      <c r="R126" s="5"/>
      <c r="S126" s="5"/>
      <c r="T126" s="5"/>
      <c r="U126" s="5"/>
      <c r="V126" s="5"/>
      <c r="AC126" s="112"/>
      <c r="AD126" s="112"/>
      <c r="AE126" s="112"/>
      <c r="AF126" s="112"/>
      <c r="AG126" s="112"/>
      <c r="AH126" s="112"/>
      <c r="AI126" s="112"/>
      <c r="AJ126" s="112"/>
      <c r="AK126" s="112"/>
      <c r="AL126" s="112"/>
      <c r="AM126" s="112"/>
      <c r="AN126" s="112"/>
      <c r="AO126" s="112"/>
      <c r="AP126" s="112"/>
      <c r="AQ126" s="112"/>
      <c r="AR126" s="112"/>
      <c r="AS126" s="112"/>
      <c r="AT126" s="112"/>
      <c r="AU126" s="112"/>
      <c r="AV126" s="112"/>
      <c r="AW126" s="112"/>
      <c r="AX126" s="112"/>
      <c r="AY126" s="112"/>
      <c r="AZ126" s="112"/>
      <c r="BA126" s="112"/>
      <c r="BB126" s="112"/>
    </row>
    <row r="127" spans="1:54" x14ac:dyDescent="0.25">
      <c r="D127" s="43"/>
      <c r="E127" s="43"/>
      <c r="F127" s="43"/>
      <c r="G127" s="43"/>
      <c r="H127" s="91"/>
      <c r="I127" s="91"/>
      <c r="K127" s="91"/>
      <c r="L127" s="106"/>
      <c r="M127" s="113"/>
      <c r="N127" s="113"/>
    </row>
    <row r="128" spans="1:54" x14ac:dyDescent="0.25">
      <c r="L128" s="106"/>
      <c r="M128" s="113"/>
      <c r="N128" s="113"/>
      <c r="O128" s="104"/>
    </row>
    <row r="129" spans="12:21" x14ac:dyDescent="0.25">
      <c r="L129" s="106"/>
      <c r="M129" s="113"/>
    </row>
    <row r="130" spans="12:21" x14ac:dyDescent="0.25">
      <c r="L130" s="106"/>
      <c r="M130" s="113"/>
    </row>
    <row r="131" spans="12:21" x14ac:dyDescent="0.25">
      <c r="L131" s="106"/>
      <c r="M131" s="113"/>
    </row>
    <row r="132" spans="12:21" x14ac:dyDescent="0.25">
      <c r="L132" s="106"/>
      <c r="M132" s="113"/>
    </row>
    <row r="133" spans="12:21" x14ac:dyDescent="0.25">
      <c r="L133" s="106"/>
      <c r="M133" s="113"/>
      <c r="P133" s="12"/>
      <c r="Q133" s="12"/>
      <c r="R133" s="12"/>
      <c r="S133" s="12"/>
      <c r="T133" s="12"/>
      <c r="U133" s="12"/>
    </row>
    <row r="134" spans="12:21" x14ac:dyDescent="0.25">
      <c r="L134" s="106"/>
      <c r="M134" s="113"/>
    </row>
    <row r="135" spans="12:21" x14ac:dyDescent="0.25">
      <c r="L135" s="106"/>
      <c r="M135" s="113"/>
      <c r="P135" s="104"/>
      <c r="Q135" s="104"/>
      <c r="R135" s="104"/>
      <c r="S135" s="104"/>
      <c r="T135" s="104"/>
      <c r="U135" s="104"/>
    </row>
    <row r="136" spans="12:21" x14ac:dyDescent="0.25">
      <c r="L136" s="106"/>
      <c r="M136" s="113"/>
    </row>
  </sheetData>
  <mergeCells count="2">
    <mergeCell ref="M3:M4"/>
    <mergeCell ref="N3:N4"/>
  </mergeCells>
  <conditionalFormatting sqref="E3:G3 D5:H6 E53:H88 J53:K124 L125:L136 D77:D124 D7:K16 L5:M28 D101:M124 N5:N128 AA5:AA16 AB17:AB28 AC29:AC40 AD41:AD52 AE53:AE64 AF65:AF76 AG77:AG88 AH89:AH100 AI101:AI112 AM5:AM16 AN17:AN28 AO29:AO40 AP41:AP52 AQ53:AQ64 AR65:AR76 AS77:AS88 AT89:AT100 AU101:AU112 AJ113:AK124 AV113:AV124">
    <cfRule type="cellIs" dxfId="315" priority="3488" operator="lessThan">
      <formula>0</formula>
    </cfRule>
  </conditionalFormatting>
  <conditionalFormatting sqref="H19:H28">
    <cfRule type="cellIs" dxfId="314" priority="565" operator="lessThan">
      <formula>0</formula>
    </cfRule>
  </conditionalFormatting>
  <conditionalFormatting sqref="H3 H5:H6">
    <cfRule type="cellIs" dxfId="313" priority="617" operator="lessThan">
      <formula>0</formula>
    </cfRule>
  </conditionalFormatting>
  <conditionalFormatting sqref="D19:H28">
    <cfRule type="cellIs" dxfId="312" priority="566" operator="lessThan">
      <formula>0</formula>
    </cfRule>
  </conditionalFormatting>
  <conditionalFormatting sqref="E5:H6 J53:K124 E7:K16 E101:K124 AA5:AA16 AB17:AB28 AC29:AC40 AD41:AD52 AE53:AE64 AF65:AF76 AG77:AG88 AH89:AH100 AI101:AI112 AM5:AM16 AN17:AN28 AO29:AO40 AP41:AP52 AQ53:AQ64 AR65:AR76 AS77:AS88 AT89:AT100 AU101:AU112 AJ113:AK124 AV113:AV124">
    <cfRule type="containsText" dxfId="311" priority="604" operator="containsText" text="n/a">
      <formula>NOT(ISERROR(SEARCH("n/a",E5)))</formula>
    </cfRule>
  </conditionalFormatting>
  <conditionalFormatting sqref="D17:H18">
    <cfRule type="cellIs" dxfId="310" priority="569" operator="lessThan">
      <formula>0</formula>
    </cfRule>
  </conditionalFormatting>
  <conditionalFormatting sqref="H17:H18">
    <cfRule type="cellIs" dxfId="309" priority="568" operator="lessThan">
      <formula>0</formula>
    </cfRule>
  </conditionalFormatting>
  <conditionalFormatting sqref="D31:H40">
    <cfRule type="cellIs" dxfId="308" priority="560" operator="lessThan">
      <formula>0</formula>
    </cfRule>
  </conditionalFormatting>
  <conditionalFormatting sqref="H41:H42">
    <cfRule type="cellIs" dxfId="307" priority="556" operator="lessThan">
      <formula>0</formula>
    </cfRule>
  </conditionalFormatting>
  <conditionalFormatting sqref="E17:H18">
    <cfRule type="containsText" dxfId="306" priority="567" operator="containsText" text="n/a">
      <formula>NOT(ISERROR(SEARCH("n/a",E17)))</formula>
    </cfRule>
  </conditionalFormatting>
  <conditionalFormatting sqref="H43:H52">
    <cfRule type="cellIs" dxfId="305" priority="553" operator="lessThan">
      <formula>0</formula>
    </cfRule>
  </conditionalFormatting>
  <conditionalFormatting sqref="E43:H52">
    <cfRule type="containsText" dxfId="304" priority="552" operator="containsText" text="n/a">
      <formula>NOT(ISERROR(SEARCH("n/a",E43)))</formula>
    </cfRule>
  </conditionalFormatting>
  <conditionalFormatting sqref="H55:H64">
    <cfRule type="cellIs" dxfId="303" priority="547" operator="lessThan">
      <formula>0</formula>
    </cfRule>
  </conditionalFormatting>
  <conditionalFormatting sqref="E19:H28">
    <cfRule type="containsText" dxfId="302" priority="564" operator="containsText" text="n/a">
      <formula>NOT(ISERROR(SEARCH("n/a",E19)))</formula>
    </cfRule>
  </conditionalFormatting>
  <conditionalFormatting sqref="D29:H30">
    <cfRule type="cellIs" dxfId="301" priority="563" operator="lessThan">
      <formula>0</formula>
    </cfRule>
  </conditionalFormatting>
  <conditionalFormatting sqref="H29:H30">
    <cfRule type="cellIs" dxfId="300" priority="562" operator="lessThan">
      <formula>0</formula>
    </cfRule>
  </conditionalFormatting>
  <conditionalFormatting sqref="E29:H30">
    <cfRule type="containsText" dxfId="299" priority="561" operator="containsText" text="n/a">
      <formula>NOT(ISERROR(SEARCH("n/a",E29)))</formula>
    </cfRule>
  </conditionalFormatting>
  <conditionalFormatting sqref="H31:H40">
    <cfRule type="cellIs" dxfId="298" priority="559" operator="lessThan">
      <formula>0</formula>
    </cfRule>
  </conditionalFormatting>
  <conditionalFormatting sqref="E31:H40">
    <cfRule type="containsText" dxfId="297" priority="558" operator="containsText" text="n/a">
      <formula>NOT(ISERROR(SEARCH("n/a",E31)))</formula>
    </cfRule>
  </conditionalFormatting>
  <conditionalFormatting sqref="D41:H42">
    <cfRule type="cellIs" dxfId="296" priority="557" operator="lessThan">
      <formula>0</formula>
    </cfRule>
  </conditionalFormatting>
  <conditionalFormatting sqref="E41:H42">
    <cfRule type="containsText" dxfId="295" priority="555" operator="containsText" text="n/a">
      <formula>NOT(ISERROR(SEARCH("n/a",E41)))</formula>
    </cfRule>
  </conditionalFormatting>
  <conditionalFormatting sqref="D43:H52">
    <cfRule type="cellIs" dxfId="294" priority="554" operator="lessThan">
      <formula>0</formula>
    </cfRule>
  </conditionalFormatting>
  <conditionalFormatting sqref="H53:H54">
    <cfRule type="cellIs" dxfId="293" priority="550" operator="lessThan">
      <formula>0</formula>
    </cfRule>
  </conditionalFormatting>
  <conditionalFormatting sqref="E53:H54">
    <cfRule type="containsText" dxfId="292" priority="549" operator="containsText" text="n/a">
      <formula>NOT(ISERROR(SEARCH("n/a",E53)))</formula>
    </cfRule>
  </conditionalFormatting>
  <conditionalFormatting sqref="E55:H64">
    <cfRule type="containsText" dxfId="291" priority="546" operator="containsText" text="n/a">
      <formula>NOT(ISERROR(SEARCH("n/a",E55)))</formula>
    </cfRule>
  </conditionalFormatting>
  <conditionalFormatting sqref="H65:H66">
    <cfRule type="cellIs" dxfId="290" priority="532" operator="lessThan">
      <formula>0</formula>
    </cfRule>
  </conditionalFormatting>
  <conditionalFormatting sqref="H79:H88">
    <cfRule type="cellIs" dxfId="289" priority="522" operator="lessThan">
      <formula>0</formula>
    </cfRule>
  </conditionalFormatting>
  <conditionalFormatting sqref="E79:H88">
    <cfRule type="containsText" dxfId="288" priority="521" operator="containsText" text="n/a">
      <formula>NOT(ISERROR(SEARCH("n/a",E79)))</formula>
    </cfRule>
  </conditionalFormatting>
  <conditionalFormatting sqref="H77:H78">
    <cfRule type="cellIs" dxfId="287" priority="525" operator="lessThan">
      <formula>0</formula>
    </cfRule>
  </conditionalFormatting>
  <conditionalFormatting sqref="E77:H78">
    <cfRule type="containsText" dxfId="286" priority="524" operator="containsText" text="n/a">
      <formula>NOT(ISERROR(SEARCH("n/a",E77)))</formula>
    </cfRule>
  </conditionalFormatting>
  <conditionalFormatting sqref="E65:H66">
    <cfRule type="containsText" dxfId="285" priority="531" operator="containsText" text="n/a">
      <formula>NOT(ISERROR(SEARCH("n/a",E65)))</formula>
    </cfRule>
  </conditionalFormatting>
  <conditionalFormatting sqref="H67:H76">
    <cfRule type="cellIs" dxfId="284" priority="529" operator="lessThan">
      <formula>0</formula>
    </cfRule>
  </conditionalFormatting>
  <conditionalFormatting sqref="E67:H76">
    <cfRule type="containsText" dxfId="283" priority="528" operator="containsText" text="n/a">
      <formula>NOT(ISERROR(SEARCH("n/a",E67)))</formula>
    </cfRule>
  </conditionalFormatting>
  <conditionalFormatting sqref="J3:K3 J5:K6">
    <cfRule type="cellIs" dxfId="282" priority="520" operator="lessThan">
      <formula>0</formula>
    </cfRule>
  </conditionalFormatting>
  <conditionalFormatting sqref="J19:K28">
    <cfRule type="cellIs" dxfId="281" priority="514" operator="lessThan">
      <formula>0</formula>
    </cfRule>
  </conditionalFormatting>
  <conditionalFormatting sqref="J5:K6">
    <cfRule type="containsText" dxfId="280" priority="519" operator="containsText" text="n/a">
      <formula>NOT(ISERROR(SEARCH("n/a",J5)))</formula>
    </cfRule>
  </conditionalFormatting>
  <conditionalFormatting sqref="J17:K18">
    <cfRule type="cellIs" dxfId="279" priority="516" operator="lessThan">
      <formula>0</formula>
    </cfRule>
  </conditionalFormatting>
  <conditionalFormatting sqref="J31:K40">
    <cfRule type="cellIs" dxfId="278" priority="510" operator="lessThan">
      <formula>0</formula>
    </cfRule>
  </conditionalFormatting>
  <conditionalFormatting sqref="J17:K18">
    <cfRule type="containsText" dxfId="277" priority="515" operator="containsText" text="n/a">
      <formula>NOT(ISERROR(SEARCH("n/a",J17)))</formula>
    </cfRule>
  </conditionalFormatting>
  <conditionalFormatting sqref="J43:K52">
    <cfRule type="containsText" dxfId="276" priority="505" operator="containsText" text="n/a">
      <formula>NOT(ISERROR(SEARCH("n/a",J43)))</formula>
    </cfRule>
  </conditionalFormatting>
  <conditionalFormatting sqref="J19:K28">
    <cfRule type="containsText" dxfId="275" priority="513" operator="containsText" text="n/a">
      <formula>NOT(ISERROR(SEARCH("n/a",J19)))</formula>
    </cfRule>
  </conditionalFormatting>
  <conditionalFormatting sqref="J29:K30">
    <cfRule type="cellIs" dxfId="274" priority="512" operator="lessThan">
      <formula>0</formula>
    </cfRule>
  </conditionalFormatting>
  <conditionalFormatting sqref="J29:K30">
    <cfRule type="containsText" dxfId="273" priority="511" operator="containsText" text="n/a">
      <formula>NOT(ISERROR(SEARCH("n/a",J29)))</formula>
    </cfRule>
  </conditionalFormatting>
  <conditionalFormatting sqref="J31:K40">
    <cfRule type="containsText" dxfId="272" priority="509" operator="containsText" text="n/a">
      <formula>NOT(ISERROR(SEARCH("n/a",J31)))</formula>
    </cfRule>
  </conditionalFormatting>
  <conditionalFormatting sqref="J41:K42">
    <cfRule type="cellIs" dxfId="271" priority="508" operator="lessThan">
      <formula>0</formula>
    </cfRule>
  </conditionalFormatting>
  <conditionalFormatting sqref="J41:K42">
    <cfRule type="containsText" dxfId="270" priority="507" operator="containsText" text="n/a">
      <formula>NOT(ISERROR(SEARCH("n/a",J41)))</formula>
    </cfRule>
  </conditionalFormatting>
  <conditionalFormatting sqref="J43:K52">
    <cfRule type="cellIs" dxfId="269" priority="506" operator="lessThan">
      <formula>0</formula>
    </cfRule>
  </conditionalFormatting>
  <conditionalFormatting sqref="I5:I6">
    <cfRule type="cellIs" dxfId="268" priority="492" operator="lessThan">
      <formula>0</formula>
    </cfRule>
  </conditionalFormatting>
  <conditionalFormatting sqref="I19:I28">
    <cfRule type="cellIs" dxfId="267" priority="482" operator="lessThan">
      <formula>0</formula>
    </cfRule>
  </conditionalFormatting>
  <conditionalFormatting sqref="I3 I5:I6">
    <cfRule type="cellIs" dxfId="266" priority="491" operator="lessThan">
      <formula>0</formula>
    </cfRule>
  </conditionalFormatting>
  <conditionalFormatting sqref="I19:I28">
    <cfRule type="cellIs" dxfId="265" priority="483" operator="lessThan">
      <formula>0</formula>
    </cfRule>
  </conditionalFormatting>
  <conditionalFormatting sqref="I5:I6">
    <cfRule type="containsText" dxfId="264" priority="490" operator="containsText" text="n/a">
      <formula>NOT(ISERROR(SEARCH("n/a",I5)))</formula>
    </cfRule>
  </conditionalFormatting>
  <conditionalFormatting sqref="I55:I64">
    <cfRule type="cellIs" dxfId="263" priority="465" operator="lessThan">
      <formula>0</formula>
    </cfRule>
  </conditionalFormatting>
  <conditionalFormatting sqref="I17:I18">
    <cfRule type="cellIs" dxfId="262" priority="486" operator="lessThan">
      <formula>0</formula>
    </cfRule>
  </conditionalFormatting>
  <conditionalFormatting sqref="I17:I18">
    <cfRule type="cellIs" dxfId="261" priority="485" operator="lessThan">
      <formula>0</formula>
    </cfRule>
  </conditionalFormatting>
  <conditionalFormatting sqref="I67:I76">
    <cfRule type="cellIs" dxfId="260" priority="459" operator="lessThan">
      <formula>0</formula>
    </cfRule>
  </conditionalFormatting>
  <conditionalFormatting sqref="I31:I40">
    <cfRule type="cellIs" dxfId="259" priority="477" operator="lessThan">
      <formula>0</formula>
    </cfRule>
  </conditionalFormatting>
  <conditionalFormatting sqref="I41:I42">
    <cfRule type="cellIs" dxfId="258" priority="473" operator="lessThan">
      <formula>0</formula>
    </cfRule>
  </conditionalFormatting>
  <conditionalFormatting sqref="I17:I18">
    <cfRule type="containsText" dxfId="257" priority="484" operator="containsText" text="n/a">
      <formula>NOT(ISERROR(SEARCH("n/a",I17)))</formula>
    </cfRule>
  </conditionalFormatting>
  <conditionalFormatting sqref="I65:I66">
    <cfRule type="cellIs" dxfId="256" priority="462" operator="lessThan">
      <formula>0</formula>
    </cfRule>
  </conditionalFormatting>
  <conditionalFormatting sqref="I43:I52">
    <cfRule type="cellIs" dxfId="255" priority="470" operator="lessThan">
      <formula>0</formula>
    </cfRule>
  </conditionalFormatting>
  <conditionalFormatting sqref="I43:I52">
    <cfRule type="containsText" dxfId="254" priority="469" operator="containsText" text="n/a">
      <formula>NOT(ISERROR(SEARCH("n/a",I43)))</formula>
    </cfRule>
  </conditionalFormatting>
  <conditionalFormatting sqref="I55:I64">
    <cfRule type="cellIs" dxfId="253" priority="464" operator="lessThan">
      <formula>0</formula>
    </cfRule>
  </conditionalFormatting>
  <conditionalFormatting sqref="I19:I28">
    <cfRule type="containsText" dxfId="252" priority="481" operator="containsText" text="n/a">
      <formula>NOT(ISERROR(SEARCH("n/a",I19)))</formula>
    </cfRule>
  </conditionalFormatting>
  <conditionalFormatting sqref="I29:I30">
    <cfRule type="cellIs" dxfId="251" priority="480" operator="lessThan">
      <formula>0</formula>
    </cfRule>
  </conditionalFormatting>
  <conditionalFormatting sqref="I29:I30">
    <cfRule type="cellIs" dxfId="250" priority="479" operator="lessThan">
      <formula>0</formula>
    </cfRule>
  </conditionalFormatting>
  <conditionalFormatting sqref="I29:I30">
    <cfRule type="containsText" dxfId="249" priority="478" operator="containsText" text="n/a">
      <formula>NOT(ISERROR(SEARCH("n/a",I29)))</formula>
    </cfRule>
  </conditionalFormatting>
  <conditionalFormatting sqref="I31:I40">
    <cfRule type="cellIs" dxfId="248" priority="476" operator="lessThan">
      <formula>0</formula>
    </cfRule>
  </conditionalFormatting>
  <conditionalFormatting sqref="I31:I40">
    <cfRule type="containsText" dxfId="247" priority="475" operator="containsText" text="n/a">
      <formula>NOT(ISERROR(SEARCH("n/a",I31)))</formula>
    </cfRule>
  </conditionalFormatting>
  <conditionalFormatting sqref="I41:I42">
    <cfRule type="cellIs" dxfId="246" priority="474" operator="lessThan">
      <formula>0</formula>
    </cfRule>
  </conditionalFormatting>
  <conditionalFormatting sqref="I41:I42">
    <cfRule type="containsText" dxfId="245" priority="472" operator="containsText" text="n/a">
      <formula>NOT(ISERROR(SEARCH("n/a",I41)))</formula>
    </cfRule>
  </conditionalFormatting>
  <conditionalFormatting sqref="I43:I52">
    <cfRule type="cellIs" dxfId="244" priority="471" operator="lessThan">
      <formula>0</formula>
    </cfRule>
  </conditionalFormatting>
  <conditionalFormatting sqref="I53:I54">
    <cfRule type="cellIs" dxfId="243" priority="468" operator="lessThan">
      <formula>0</formula>
    </cfRule>
  </conditionalFormatting>
  <conditionalFormatting sqref="I53:I54">
    <cfRule type="cellIs" dxfId="242" priority="467" operator="lessThan">
      <formula>0</formula>
    </cfRule>
  </conditionalFormatting>
  <conditionalFormatting sqref="I53:I54">
    <cfRule type="containsText" dxfId="241" priority="466" operator="containsText" text="n/a">
      <formula>NOT(ISERROR(SEARCH("n/a",I53)))</formula>
    </cfRule>
  </conditionalFormatting>
  <conditionalFormatting sqref="I55:I64">
    <cfRule type="containsText" dxfId="240" priority="463" operator="containsText" text="n/a">
      <formula>NOT(ISERROR(SEARCH("n/a",I55)))</formula>
    </cfRule>
  </conditionalFormatting>
  <conditionalFormatting sqref="I65:I66">
    <cfRule type="cellIs" dxfId="239" priority="461" operator="lessThan">
      <formula>0</formula>
    </cfRule>
  </conditionalFormatting>
  <conditionalFormatting sqref="I79:I88">
    <cfRule type="cellIs" dxfId="238" priority="452" operator="lessThan">
      <formula>0</formula>
    </cfRule>
  </conditionalFormatting>
  <conditionalFormatting sqref="I79:I88">
    <cfRule type="containsText" dxfId="237" priority="451" operator="containsText" text="n/a">
      <formula>NOT(ISERROR(SEARCH("n/a",I79)))</formula>
    </cfRule>
  </conditionalFormatting>
  <conditionalFormatting sqref="I79:I88">
    <cfRule type="cellIs" dxfId="236" priority="453" operator="lessThan">
      <formula>0</formula>
    </cfRule>
  </conditionalFormatting>
  <conditionalFormatting sqref="I77:I78">
    <cfRule type="cellIs" dxfId="235" priority="456" operator="lessThan">
      <formula>0</formula>
    </cfRule>
  </conditionalFormatting>
  <conditionalFormatting sqref="I77:I78">
    <cfRule type="cellIs" dxfId="234" priority="455" operator="lessThan">
      <formula>0</formula>
    </cfRule>
  </conditionalFormatting>
  <conditionalFormatting sqref="I77:I78">
    <cfRule type="containsText" dxfId="233" priority="454" operator="containsText" text="n/a">
      <formula>NOT(ISERROR(SEARCH("n/a",I77)))</formula>
    </cfRule>
  </conditionalFormatting>
  <conditionalFormatting sqref="I65:I66">
    <cfRule type="containsText" dxfId="232" priority="460" operator="containsText" text="n/a">
      <formula>NOT(ISERROR(SEARCH("n/a",I65)))</formula>
    </cfRule>
  </conditionalFormatting>
  <conditionalFormatting sqref="I67:I76">
    <cfRule type="cellIs" dxfId="231" priority="458" operator="lessThan">
      <formula>0</formula>
    </cfRule>
  </conditionalFormatting>
  <conditionalFormatting sqref="I67:I76">
    <cfRule type="containsText" dxfId="230" priority="457" operator="containsText" text="n/a">
      <formula>NOT(ISERROR(SEARCH("n/a",I67)))</formula>
    </cfRule>
  </conditionalFormatting>
  <conditionalFormatting sqref="D115:D124">
    <cfRule type="cellIs" dxfId="229" priority="426" operator="lessThan">
      <formula>0</formula>
    </cfRule>
  </conditionalFormatting>
  <conditionalFormatting sqref="D113:D114">
    <cfRule type="cellIs" dxfId="228" priority="427" operator="lessThan">
      <formula>0</formula>
    </cfRule>
  </conditionalFormatting>
  <conditionalFormatting sqref="H91:H124">
    <cfRule type="cellIs" dxfId="227" priority="405" operator="lessThan">
      <formula>0</formula>
    </cfRule>
  </conditionalFormatting>
  <conditionalFormatting sqref="E91:H124">
    <cfRule type="containsText" dxfId="226" priority="404" operator="containsText" text="n/a">
      <formula>NOT(ISERROR(SEARCH("n/a",E91)))</formula>
    </cfRule>
  </conditionalFormatting>
  <conditionalFormatting sqref="E91:H124">
    <cfRule type="cellIs" dxfId="225" priority="406" operator="lessThan">
      <formula>0</formula>
    </cfRule>
  </conditionalFormatting>
  <conditionalFormatting sqref="E89:H90">
    <cfRule type="cellIs" dxfId="224" priority="409" operator="lessThan">
      <formula>0</formula>
    </cfRule>
  </conditionalFormatting>
  <conditionalFormatting sqref="H89:H90">
    <cfRule type="cellIs" dxfId="223" priority="408" operator="lessThan">
      <formula>0</formula>
    </cfRule>
  </conditionalFormatting>
  <conditionalFormatting sqref="E89:H90">
    <cfRule type="containsText" dxfId="222" priority="407" operator="containsText" text="n/a">
      <formula>NOT(ISERROR(SEARCH("n/a",E89)))</formula>
    </cfRule>
  </conditionalFormatting>
  <conditionalFormatting sqref="I91:I124">
    <cfRule type="cellIs" dxfId="221" priority="395" operator="lessThan">
      <formula>0</formula>
    </cfRule>
  </conditionalFormatting>
  <conditionalFormatting sqref="I91:I124">
    <cfRule type="containsText" dxfId="220" priority="394" operator="containsText" text="n/a">
      <formula>NOT(ISERROR(SEARCH("n/a",I91)))</formula>
    </cfRule>
  </conditionalFormatting>
  <conditionalFormatting sqref="I91:I124">
    <cfRule type="cellIs" dxfId="219" priority="396" operator="lessThan">
      <formula>0</formula>
    </cfRule>
  </conditionalFormatting>
  <conditionalFormatting sqref="I89:I90">
    <cfRule type="cellIs" dxfId="218" priority="399" operator="lessThan">
      <formula>0</formula>
    </cfRule>
  </conditionalFormatting>
  <conditionalFormatting sqref="I89:I90">
    <cfRule type="cellIs" dxfId="217" priority="398" operator="lessThan">
      <formula>0</formula>
    </cfRule>
  </conditionalFormatting>
  <conditionalFormatting sqref="I89:I90">
    <cfRule type="containsText" dxfId="216" priority="397" operator="containsText" text="n/a">
      <formula>NOT(ISERROR(SEARCH("n/a",I89)))</formula>
    </cfRule>
  </conditionalFormatting>
  <conditionalFormatting sqref="D55:D64">
    <cfRule type="cellIs" dxfId="215" priority="360" operator="lessThan">
      <formula>0</formula>
    </cfRule>
  </conditionalFormatting>
  <conditionalFormatting sqref="D65:D66">
    <cfRule type="cellIs" dxfId="214" priority="359" operator="lessThan">
      <formula>0</formula>
    </cfRule>
  </conditionalFormatting>
  <conditionalFormatting sqref="D53:D54">
    <cfRule type="cellIs" dxfId="213" priority="361" operator="lessThan">
      <formula>0</formula>
    </cfRule>
  </conditionalFormatting>
  <conditionalFormatting sqref="D67:D76">
    <cfRule type="cellIs" dxfId="212" priority="358" operator="lessThan">
      <formula>0</formula>
    </cfRule>
  </conditionalFormatting>
  <conditionalFormatting sqref="J101:K112">
    <cfRule type="cellIs" dxfId="211" priority="329" operator="lessThan">
      <formula>0</formula>
    </cfRule>
  </conditionalFormatting>
  <conditionalFormatting sqref="J101:K112">
    <cfRule type="containsText" dxfId="210" priority="328" operator="containsText" text="n/a">
      <formula>NOT(ISERROR(SEARCH("n/a",J101)))</formula>
    </cfRule>
  </conditionalFormatting>
  <conditionalFormatting sqref="H103:H112">
    <cfRule type="cellIs" dxfId="209" priority="323" operator="lessThan">
      <formula>0</formula>
    </cfRule>
  </conditionalFormatting>
  <conditionalFormatting sqref="E103:H112">
    <cfRule type="containsText" dxfId="208" priority="322" operator="containsText" text="n/a">
      <formula>NOT(ISERROR(SEARCH("n/a",E103)))</formula>
    </cfRule>
  </conditionalFormatting>
  <conditionalFormatting sqref="E103:H112">
    <cfRule type="cellIs" dxfId="207" priority="324" operator="lessThan">
      <formula>0</formula>
    </cfRule>
  </conditionalFormatting>
  <conditionalFormatting sqref="E101:H102">
    <cfRule type="cellIs" dxfId="206" priority="327" operator="lessThan">
      <formula>0</formula>
    </cfRule>
  </conditionalFormatting>
  <conditionalFormatting sqref="H101:H102">
    <cfRule type="cellIs" dxfId="205" priority="326" operator="lessThan">
      <formula>0</formula>
    </cfRule>
  </conditionalFormatting>
  <conditionalFormatting sqref="E101:H102">
    <cfRule type="containsText" dxfId="204" priority="325" operator="containsText" text="n/a">
      <formula>NOT(ISERROR(SEARCH("n/a",E101)))</formula>
    </cfRule>
  </conditionalFormatting>
  <conditionalFormatting sqref="I103:I112">
    <cfRule type="cellIs" dxfId="203" priority="317" operator="lessThan">
      <formula>0</formula>
    </cfRule>
  </conditionalFormatting>
  <conditionalFormatting sqref="I103:I112">
    <cfRule type="containsText" dxfId="202" priority="316" operator="containsText" text="n/a">
      <formula>NOT(ISERROR(SEARCH("n/a",I103)))</formula>
    </cfRule>
  </conditionalFormatting>
  <conditionalFormatting sqref="I103:I112">
    <cfRule type="cellIs" dxfId="201" priority="318" operator="lessThan">
      <formula>0</formula>
    </cfRule>
  </conditionalFormatting>
  <conditionalFormatting sqref="I101:I102">
    <cfRule type="cellIs" dxfId="200" priority="321" operator="lessThan">
      <formula>0</formula>
    </cfRule>
  </conditionalFormatting>
  <conditionalFormatting sqref="I101:I102">
    <cfRule type="cellIs" dxfId="199" priority="320" operator="lessThan">
      <formula>0</formula>
    </cfRule>
  </conditionalFormatting>
  <conditionalFormatting sqref="I101:I102">
    <cfRule type="containsText" dxfId="198" priority="319" operator="containsText" text="n/a">
      <formula>NOT(ISERROR(SEARCH("n/a",I101)))</formula>
    </cfRule>
  </conditionalFormatting>
  <conditionalFormatting sqref="J113:K124">
    <cfRule type="cellIs" dxfId="197" priority="315" operator="lessThan">
      <formula>0</formula>
    </cfRule>
  </conditionalFormatting>
  <conditionalFormatting sqref="J113:K124">
    <cfRule type="containsText" dxfId="196" priority="314" operator="containsText" text="n/a">
      <formula>NOT(ISERROR(SEARCH("n/a",J113)))</formula>
    </cfRule>
  </conditionalFormatting>
  <conditionalFormatting sqref="H115:H124">
    <cfRule type="cellIs" dxfId="195" priority="309" operator="lessThan">
      <formula>0</formula>
    </cfRule>
  </conditionalFormatting>
  <conditionalFormatting sqref="E115:H124">
    <cfRule type="containsText" dxfId="194" priority="308" operator="containsText" text="n/a">
      <formula>NOT(ISERROR(SEARCH("n/a",E115)))</formula>
    </cfRule>
  </conditionalFormatting>
  <conditionalFormatting sqref="E115:H124">
    <cfRule type="cellIs" dxfId="193" priority="310" operator="lessThan">
      <formula>0</formula>
    </cfRule>
  </conditionalFormatting>
  <conditionalFormatting sqref="E113:H114">
    <cfRule type="cellIs" dxfId="192" priority="313" operator="lessThan">
      <formula>0</formula>
    </cfRule>
  </conditionalFormatting>
  <conditionalFormatting sqref="H113:H114">
    <cfRule type="cellIs" dxfId="191" priority="312" operator="lessThan">
      <formula>0</formula>
    </cfRule>
  </conditionalFormatting>
  <conditionalFormatting sqref="E113:H114">
    <cfRule type="containsText" dxfId="190" priority="311" operator="containsText" text="n/a">
      <formula>NOT(ISERROR(SEARCH("n/a",E113)))</formula>
    </cfRule>
  </conditionalFormatting>
  <conditionalFormatting sqref="I115:I124">
    <cfRule type="cellIs" dxfId="189" priority="303" operator="lessThan">
      <formula>0</formula>
    </cfRule>
  </conditionalFormatting>
  <conditionalFormatting sqref="I115:I124">
    <cfRule type="containsText" dxfId="188" priority="302" operator="containsText" text="n/a">
      <formula>NOT(ISERROR(SEARCH("n/a",I115)))</formula>
    </cfRule>
  </conditionalFormatting>
  <conditionalFormatting sqref="I115:I124">
    <cfRule type="cellIs" dxfId="187" priority="304" operator="lessThan">
      <formula>0</formula>
    </cfRule>
  </conditionalFormatting>
  <conditionalFormatting sqref="I113:I114">
    <cfRule type="cellIs" dxfId="186" priority="307" operator="lessThan">
      <formula>0</formula>
    </cfRule>
  </conditionalFormatting>
  <conditionalFormatting sqref="I113:I114">
    <cfRule type="cellIs" dxfId="185" priority="306" operator="lessThan">
      <formula>0</formula>
    </cfRule>
  </conditionalFormatting>
  <conditionalFormatting sqref="I113:I114">
    <cfRule type="containsText" dxfId="184" priority="305" operator="containsText" text="n/a">
      <formula>NOT(ISERROR(SEARCH("n/a",I113)))</formula>
    </cfRule>
  </conditionalFormatting>
  <conditionalFormatting sqref="L29:L52">
    <cfRule type="cellIs" dxfId="183" priority="301" operator="lessThan">
      <formula>0</formula>
    </cfRule>
  </conditionalFormatting>
  <conditionalFormatting sqref="L53:L76">
    <cfRule type="cellIs" dxfId="182" priority="300" operator="lessThan">
      <formula>0</formula>
    </cfRule>
  </conditionalFormatting>
  <conditionalFormatting sqref="L77:L124">
    <cfRule type="cellIs" dxfId="181" priority="299" operator="lessThan">
      <formula>0</formula>
    </cfRule>
  </conditionalFormatting>
  <conditionalFormatting sqref="L101:L124">
    <cfRule type="cellIs" dxfId="180" priority="298" operator="lessThan">
      <formula>0</formula>
    </cfRule>
  </conditionalFormatting>
  <conditionalFormatting sqref="M125:M136">
    <cfRule type="cellIs" dxfId="179" priority="297" operator="lessThan">
      <formula>0</formula>
    </cfRule>
  </conditionalFormatting>
  <conditionalFormatting sqref="M29:M52">
    <cfRule type="cellIs" dxfId="178" priority="296" operator="lessThan">
      <formula>0</formula>
    </cfRule>
  </conditionalFormatting>
  <conditionalFormatting sqref="M53:M76">
    <cfRule type="cellIs" dxfId="177" priority="295" operator="lessThan">
      <formula>0</formula>
    </cfRule>
  </conditionalFormatting>
  <conditionalFormatting sqref="M77:M124">
    <cfRule type="cellIs" dxfId="176" priority="294" operator="lessThan">
      <formula>0</formula>
    </cfRule>
  </conditionalFormatting>
  <conditionalFormatting sqref="M101:M124">
    <cfRule type="cellIs" dxfId="175" priority="293" operator="lessThan">
      <formula>0</formula>
    </cfRule>
  </conditionalFormatting>
  <conditionalFormatting sqref="J5:J124">
    <cfRule type="colorScale" priority="287">
      <colorScale>
        <cfvo type="min"/>
        <cfvo type="max"/>
        <color rgb="FFF8696B"/>
        <color rgb="FFFCFCFF"/>
      </colorScale>
    </cfRule>
  </conditionalFormatting>
  <conditionalFormatting sqref="K5:K6">
    <cfRule type="cellIs" dxfId="174" priority="224" operator="lessThan">
      <formula>0</formula>
    </cfRule>
  </conditionalFormatting>
  <conditionalFormatting sqref="K7:K16 K101:K124">
    <cfRule type="cellIs" dxfId="173" priority="226" operator="lessThan">
      <formula>0</formula>
    </cfRule>
  </conditionalFormatting>
  <conditionalFormatting sqref="K7:K16 K101:K124">
    <cfRule type="containsText" dxfId="172" priority="225" operator="containsText" text="n/a">
      <formula>NOT(ISERROR(SEARCH("n/a",K7)))</formula>
    </cfRule>
  </conditionalFormatting>
  <conditionalFormatting sqref="K19:K28">
    <cfRule type="cellIs" dxfId="171" priority="217" operator="lessThan">
      <formula>0</formula>
    </cfRule>
  </conditionalFormatting>
  <conditionalFormatting sqref="K3 K5:K6">
    <cfRule type="cellIs" dxfId="170" priority="223" operator="lessThan">
      <formula>0</formula>
    </cfRule>
  </conditionalFormatting>
  <conditionalFormatting sqref="K19:K28">
    <cfRule type="cellIs" dxfId="169" priority="218" operator="lessThan">
      <formula>0</formula>
    </cfRule>
  </conditionalFormatting>
  <conditionalFormatting sqref="K5:K6">
    <cfRule type="containsText" dxfId="168" priority="222" operator="containsText" text="n/a">
      <formula>NOT(ISERROR(SEARCH("n/a",K5)))</formula>
    </cfRule>
  </conditionalFormatting>
  <conditionalFormatting sqref="K55:K64">
    <cfRule type="cellIs" dxfId="167" priority="200" operator="lessThan">
      <formula>0</formula>
    </cfRule>
  </conditionalFormatting>
  <conditionalFormatting sqref="K17:K18">
    <cfRule type="cellIs" dxfId="166" priority="221" operator="lessThan">
      <formula>0</formula>
    </cfRule>
  </conditionalFormatting>
  <conditionalFormatting sqref="K17:K18">
    <cfRule type="cellIs" dxfId="165" priority="220" operator="lessThan">
      <formula>0</formula>
    </cfRule>
  </conditionalFormatting>
  <conditionalFormatting sqref="K67:K76">
    <cfRule type="cellIs" dxfId="164" priority="194" operator="lessThan">
      <formula>0</formula>
    </cfRule>
  </conditionalFormatting>
  <conditionalFormatting sqref="K31:K40">
    <cfRule type="cellIs" dxfId="163" priority="212" operator="lessThan">
      <formula>0</formula>
    </cfRule>
  </conditionalFormatting>
  <conditionalFormatting sqref="K41:K42">
    <cfRule type="cellIs" dxfId="162" priority="208" operator="lessThan">
      <formula>0</formula>
    </cfRule>
  </conditionalFormatting>
  <conditionalFormatting sqref="K17:K18">
    <cfRule type="containsText" dxfId="161" priority="219" operator="containsText" text="n/a">
      <formula>NOT(ISERROR(SEARCH("n/a",K17)))</formula>
    </cfRule>
  </conditionalFormatting>
  <conditionalFormatting sqref="K65:K66">
    <cfRule type="cellIs" dxfId="160" priority="197" operator="lessThan">
      <formula>0</formula>
    </cfRule>
  </conditionalFormatting>
  <conditionalFormatting sqref="K43:K52">
    <cfRule type="cellIs" dxfId="159" priority="205" operator="lessThan">
      <formula>0</formula>
    </cfRule>
  </conditionalFormatting>
  <conditionalFormatting sqref="K43:K52">
    <cfRule type="containsText" dxfId="158" priority="204" operator="containsText" text="n/a">
      <formula>NOT(ISERROR(SEARCH("n/a",K43)))</formula>
    </cfRule>
  </conditionalFormatting>
  <conditionalFormatting sqref="K55:K64">
    <cfRule type="cellIs" dxfId="157" priority="199" operator="lessThan">
      <formula>0</formula>
    </cfRule>
  </conditionalFormatting>
  <conditionalFormatting sqref="K19:K28">
    <cfRule type="containsText" dxfId="156" priority="216" operator="containsText" text="n/a">
      <formula>NOT(ISERROR(SEARCH("n/a",K19)))</formula>
    </cfRule>
  </conditionalFormatting>
  <conditionalFormatting sqref="K29:K30">
    <cfRule type="cellIs" dxfId="155" priority="215" operator="lessThan">
      <formula>0</formula>
    </cfRule>
  </conditionalFormatting>
  <conditionalFormatting sqref="K29:K30">
    <cfRule type="cellIs" dxfId="154" priority="214" operator="lessThan">
      <formula>0</formula>
    </cfRule>
  </conditionalFormatting>
  <conditionalFormatting sqref="K29:K30">
    <cfRule type="containsText" dxfId="153" priority="213" operator="containsText" text="n/a">
      <formula>NOT(ISERROR(SEARCH("n/a",K29)))</formula>
    </cfRule>
  </conditionalFormatting>
  <conditionalFormatting sqref="K31:K40">
    <cfRule type="cellIs" dxfId="152" priority="211" operator="lessThan">
      <formula>0</formula>
    </cfRule>
  </conditionalFormatting>
  <conditionalFormatting sqref="K31:K40">
    <cfRule type="containsText" dxfId="151" priority="210" operator="containsText" text="n/a">
      <formula>NOT(ISERROR(SEARCH("n/a",K31)))</formula>
    </cfRule>
  </conditionalFormatting>
  <conditionalFormatting sqref="K41:K42">
    <cfRule type="cellIs" dxfId="150" priority="209" operator="lessThan">
      <formula>0</formula>
    </cfRule>
  </conditionalFormatting>
  <conditionalFormatting sqref="K41:K42">
    <cfRule type="containsText" dxfId="149" priority="207" operator="containsText" text="n/a">
      <formula>NOT(ISERROR(SEARCH("n/a",K41)))</formula>
    </cfRule>
  </conditionalFormatting>
  <conditionalFormatting sqref="K43:K52">
    <cfRule type="cellIs" dxfId="148" priority="206" operator="lessThan">
      <formula>0</formula>
    </cfRule>
  </conditionalFormatting>
  <conditionalFormatting sqref="K53:K54">
    <cfRule type="cellIs" dxfId="147" priority="203" operator="lessThan">
      <formula>0</formula>
    </cfRule>
  </conditionalFormatting>
  <conditionalFormatting sqref="K53:K54">
    <cfRule type="cellIs" dxfId="146" priority="202" operator="lessThan">
      <formula>0</formula>
    </cfRule>
  </conditionalFormatting>
  <conditionalFormatting sqref="K53:K54">
    <cfRule type="containsText" dxfId="145" priority="201" operator="containsText" text="n/a">
      <formula>NOT(ISERROR(SEARCH("n/a",K53)))</formula>
    </cfRule>
  </conditionalFormatting>
  <conditionalFormatting sqref="K55:K64">
    <cfRule type="containsText" dxfId="144" priority="198" operator="containsText" text="n/a">
      <formula>NOT(ISERROR(SEARCH("n/a",K55)))</formula>
    </cfRule>
  </conditionalFormatting>
  <conditionalFormatting sqref="K65:K66">
    <cfRule type="cellIs" dxfId="143" priority="196" operator="lessThan">
      <formula>0</formula>
    </cfRule>
  </conditionalFormatting>
  <conditionalFormatting sqref="K79:K88">
    <cfRule type="cellIs" dxfId="142" priority="187" operator="lessThan">
      <formula>0</formula>
    </cfRule>
  </conditionalFormatting>
  <conditionalFormatting sqref="K79:K88">
    <cfRule type="containsText" dxfId="141" priority="186" operator="containsText" text="n/a">
      <formula>NOT(ISERROR(SEARCH("n/a",K79)))</formula>
    </cfRule>
  </conditionalFormatting>
  <conditionalFormatting sqref="K79:K88">
    <cfRule type="cellIs" dxfId="140" priority="188" operator="lessThan">
      <formula>0</formula>
    </cfRule>
  </conditionalFormatting>
  <conditionalFormatting sqref="K77:K78">
    <cfRule type="cellIs" dxfId="139" priority="191" operator="lessThan">
      <formula>0</formula>
    </cfRule>
  </conditionalFormatting>
  <conditionalFormatting sqref="K77:K78">
    <cfRule type="cellIs" dxfId="138" priority="190" operator="lessThan">
      <formula>0</formula>
    </cfRule>
  </conditionalFormatting>
  <conditionalFormatting sqref="K77:K78">
    <cfRule type="containsText" dxfId="137" priority="189" operator="containsText" text="n/a">
      <formula>NOT(ISERROR(SEARCH("n/a",K77)))</formula>
    </cfRule>
  </conditionalFormatting>
  <conditionalFormatting sqref="K65:K66">
    <cfRule type="containsText" dxfId="136" priority="195" operator="containsText" text="n/a">
      <formula>NOT(ISERROR(SEARCH("n/a",K65)))</formula>
    </cfRule>
  </conditionalFormatting>
  <conditionalFormatting sqref="K67:K76">
    <cfRule type="cellIs" dxfId="135" priority="193" operator="lessThan">
      <formula>0</formula>
    </cfRule>
  </conditionalFormatting>
  <conditionalFormatting sqref="K67:K76">
    <cfRule type="containsText" dxfId="134" priority="192" operator="containsText" text="n/a">
      <formula>NOT(ISERROR(SEARCH("n/a",K67)))</formula>
    </cfRule>
  </conditionalFormatting>
  <conditionalFormatting sqref="K91:K124">
    <cfRule type="cellIs" dxfId="133" priority="181" operator="lessThan">
      <formula>0</formula>
    </cfRule>
  </conditionalFormatting>
  <conditionalFormatting sqref="K91:K124">
    <cfRule type="containsText" dxfId="132" priority="180" operator="containsText" text="n/a">
      <formula>NOT(ISERROR(SEARCH("n/a",K91)))</formula>
    </cfRule>
  </conditionalFormatting>
  <conditionalFormatting sqref="K91:K124">
    <cfRule type="cellIs" dxfId="131" priority="182" operator="lessThan">
      <formula>0</formula>
    </cfRule>
  </conditionalFormatting>
  <conditionalFormatting sqref="K89:K90">
    <cfRule type="cellIs" dxfId="130" priority="185" operator="lessThan">
      <formula>0</formula>
    </cfRule>
  </conditionalFormatting>
  <conditionalFormatting sqref="K89:K90">
    <cfRule type="cellIs" dxfId="129" priority="184" operator="lessThan">
      <formula>0</formula>
    </cfRule>
  </conditionalFormatting>
  <conditionalFormatting sqref="K89:K90">
    <cfRule type="containsText" dxfId="128" priority="183" operator="containsText" text="n/a">
      <formula>NOT(ISERROR(SEARCH("n/a",K89)))</formula>
    </cfRule>
  </conditionalFormatting>
  <conditionalFormatting sqref="K103:K112">
    <cfRule type="cellIs" dxfId="127" priority="175" operator="lessThan">
      <formula>0</formula>
    </cfRule>
  </conditionalFormatting>
  <conditionalFormatting sqref="K103:K112">
    <cfRule type="containsText" dxfId="126" priority="174" operator="containsText" text="n/a">
      <formula>NOT(ISERROR(SEARCH("n/a",K103)))</formula>
    </cfRule>
  </conditionalFormatting>
  <conditionalFormatting sqref="K103:K112">
    <cfRule type="cellIs" dxfId="125" priority="176" operator="lessThan">
      <formula>0</formula>
    </cfRule>
  </conditionalFormatting>
  <conditionalFormatting sqref="K101:K102">
    <cfRule type="cellIs" dxfId="124" priority="179" operator="lessThan">
      <formula>0</formula>
    </cfRule>
  </conditionalFormatting>
  <conditionalFormatting sqref="K101:K102">
    <cfRule type="cellIs" dxfId="123" priority="178" operator="lessThan">
      <formula>0</formula>
    </cfRule>
  </conditionalFormatting>
  <conditionalFormatting sqref="K101:K102">
    <cfRule type="containsText" dxfId="122" priority="177" operator="containsText" text="n/a">
      <formula>NOT(ISERROR(SEARCH("n/a",K101)))</formula>
    </cfRule>
  </conditionalFormatting>
  <conditionalFormatting sqref="K115:K124">
    <cfRule type="cellIs" dxfId="121" priority="169" operator="lessThan">
      <formula>0</formula>
    </cfRule>
  </conditionalFormatting>
  <conditionalFormatting sqref="K115:K124">
    <cfRule type="containsText" dxfId="120" priority="168" operator="containsText" text="n/a">
      <formula>NOT(ISERROR(SEARCH("n/a",K115)))</formula>
    </cfRule>
  </conditionalFormatting>
  <conditionalFormatting sqref="K115:K124">
    <cfRule type="cellIs" dxfId="119" priority="170" operator="lessThan">
      <formula>0</formula>
    </cfRule>
  </conditionalFormatting>
  <conditionalFormatting sqref="K113:K114">
    <cfRule type="cellIs" dxfId="118" priority="173" operator="lessThan">
      <formula>0</formula>
    </cfRule>
  </conditionalFormatting>
  <conditionalFormatting sqref="K113:K114">
    <cfRule type="cellIs" dxfId="117" priority="172" operator="lessThan">
      <formula>0</formula>
    </cfRule>
  </conditionalFormatting>
  <conditionalFormatting sqref="K113:K114">
    <cfRule type="containsText" dxfId="116" priority="171" operator="containsText" text="n/a">
      <formula>NOT(ISERROR(SEARCH("n/a",K113)))</formula>
    </cfRule>
  </conditionalFormatting>
  <conditionalFormatting sqref="B5:B16">
    <cfRule type="cellIs" dxfId="115" priority="167" operator="lessThan">
      <formula>0</formula>
    </cfRule>
  </conditionalFormatting>
  <conditionalFormatting sqref="B77:B124">
    <cfRule type="cellIs" dxfId="114" priority="166" operator="lessThan">
      <formula>0</formula>
    </cfRule>
  </conditionalFormatting>
  <conditionalFormatting sqref="B19:B28">
    <cfRule type="cellIs" dxfId="113" priority="164" operator="lessThan">
      <formula>0</formula>
    </cfRule>
  </conditionalFormatting>
  <conditionalFormatting sqref="B17:B18">
    <cfRule type="cellIs" dxfId="112" priority="165" operator="lessThan">
      <formula>0</formula>
    </cfRule>
  </conditionalFormatting>
  <conditionalFormatting sqref="B31:B40">
    <cfRule type="cellIs" dxfId="111" priority="162" operator="lessThan">
      <formula>0</formula>
    </cfRule>
  </conditionalFormatting>
  <conditionalFormatting sqref="B29:B30">
    <cfRule type="cellIs" dxfId="110" priority="163" operator="lessThan">
      <formula>0</formula>
    </cfRule>
  </conditionalFormatting>
  <conditionalFormatting sqref="B41:B42">
    <cfRule type="cellIs" dxfId="109" priority="161" operator="lessThan">
      <formula>0</formula>
    </cfRule>
  </conditionalFormatting>
  <conditionalFormatting sqref="B43:B52">
    <cfRule type="cellIs" dxfId="108" priority="160" operator="lessThan">
      <formula>0</formula>
    </cfRule>
  </conditionalFormatting>
  <conditionalFormatting sqref="B115:B124">
    <cfRule type="cellIs" dxfId="107" priority="158" operator="lessThan">
      <formula>0</formula>
    </cfRule>
  </conditionalFormatting>
  <conditionalFormatting sqref="B113:B114">
    <cfRule type="cellIs" dxfId="106" priority="159" operator="lessThan">
      <formula>0</formula>
    </cfRule>
  </conditionalFormatting>
  <conditionalFormatting sqref="B55:B64">
    <cfRule type="cellIs" dxfId="105" priority="156" operator="lessThan">
      <formula>0</formula>
    </cfRule>
  </conditionalFormatting>
  <conditionalFormatting sqref="B65:B66">
    <cfRule type="cellIs" dxfId="104" priority="155" operator="lessThan">
      <formula>0</formula>
    </cfRule>
  </conditionalFormatting>
  <conditionalFormatting sqref="B53:B54">
    <cfRule type="cellIs" dxfId="103" priority="157" operator="lessThan">
      <formula>0</formula>
    </cfRule>
  </conditionalFormatting>
  <conditionalFormatting sqref="B67:B76">
    <cfRule type="cellIs" dxfId="102" priority="154" operator="lessThan">
      <formula>0</formula>
    </cfRule>
  </conditionalFormatting>
  <conditionalFormatting sqref="W53:W88 W5:W16 W101:W124">
    <cfRule type="cellIs" dxfId="101" priority="153" operator="lessThan">
      <formula>0</formula>
    </cfRule>
  </conditionalFormatting>
  <conditionalFormatting sqref="W19:W28">
    <cfRule type="cellIs" dxfId="100" priority="146" operator="lessThan">
      <formula>0</formula>
    </cfRule>
  </conditionalFormatting>
  <conditionalFormatting sqref="W5:W6">
    <cfRule type="cellIs" dxfId="99" priority="152" operator="lessThan">
      <formula>0</formula>
    </cfRule>
  </conditionalFormatting>
  <conditionalFormatting sqref="W19:W28">
    <cfRule type="cellIs" dxfId="98" priority="147" operator="lessThan">
      <formula>0</formula>
    </cfRule>
  </conditionalFormatting>
  <conditionalFormatting sqref="W5:W16 W101:W124">
    <cfRule type="containsText" dxfId="97" priority="151" operator="containsText" text="n/a">
      <formula>NOT(ISERROR(SEARCH("n/a",W5)))</formula>
    </cfRule>
  </conditionalFormatting>
  <conditionalFormatting sqref="W17:W18">
    <cfRule type="cellIs" dxfId="96" priority="150" operator="lessThan">
      <formula>0</formula>
    </cfRule>
  </conditionalFormatting>
  <conditionalFormatting sqref="W17:W18">
    <cfRule type="cellIs" dxfId="95" priority="149" operator="lessThan">
      <formula>0</formula>
    </cfRule>
  </conditionalFormatting>
  <conditionalFormatting sqref="W31:W40">
    <cfRule type="cellIs" dxfId="94" priority="141" operator="lessThan">
      <formula>0</formula>
    </cfRule>
  </conditionalFormatting>
  <conditionalFormatting sqref="W41:W42">
    <cfRule type="cellIs" dxfId="93" priority="137" operator="lessThan">
      <formula>0</formula>
    </cfRule>
  </conditionalFormatting>
  <conditionalFormatting sqref="W17:W18">
    <cfRule type="containsText" dxfId="92" priority="148" operator="containsText" text="n/a">
      <formula>NOT(ISERROR(SEARCH("n/a",W17)))</formula>
    </cfRule>
  </conditionalFormatting>
  <conditionalFormatting sqref="W43:W52">
    <cfRule type="cellIs" dxfId="91" priority="134" operator="lessThan">
      <formula>0</formula>
    </cfRule>
  </conditionalFormatting>
  <conditionalFormatting sqref="W43:W52">
    <cfRule type="containsText" dxfId="90" priority="133" operator="containsText" text="n/a">
      <formula>NOT(ISERROR(SEARCH("n/a",W43)))</formula>
    </cfRule>
  </conditionalFormatting>
  <conditionalFormatting sqref="W55:W64">
    <cfRule type="cellIs" dxfId="89" priority="130" operator="lessThan">
      <formula>0</formula>
    </cfRule>
  </conditionalFormatting>
  <conditionalFormatting sqref="W19:W28">
    <cfRule type="containsText" dxfId="88" priority="145" operator="containsText" text="n/a">
      <formula>NOT(ISERROR(SEARCH("n/a",W19)))</formula>
    </cfRule>
  </conditionalFormatting>
  <conditionalFormatting sqref="W29:W30">
    <cfRule type="cellIs" dxfId="87" priority="144" operator="lessThan">
      <formula>0</formula>
    </cfRule>
  </conditionalFormatting>
  <conditionalFormatting sqref="W29:W30">
    <cfRule type="cellIs" dxfId="86" priority="143" operator="lessThan">
      <formula>0</formula>
    </cfRule>
  </conditionalFormatting>
  <conditionalFormatting sqref="W29:W30">
    <cfRule type="containsText" dxfId="85" priority="142" operator="containsText" text="n/a">
      <formula>NOT(ISERROR(SEARCH("n/a",W29)))</formula>
    </cfRule>
  </conditionalFormatting>
  <conditionalFormatting sqref="W31:W40">
    <cfRule type="cellIs" dxfId="84" priority="140" operator="lessThan">
      <formula>0</formula>
    </cfRule>
  </conditionalFormatting>
  <conditionalFormatting sqref="W31:W40">
    <cfRule type="containsText" dxfId="83" priority="139" operator="containsText" text="n/a">
      <formula>NOT(ISERROR(SEARCH("n/a",W31)))</formula>
    </cfRule>
  </conditionalFormatting>
  <conditionalFormatting sqref="W41:W42">
    <cfRule type="cellIs" dxfId="82" priority="138" operator="lessThan">
      <formula>0</formula>
    </cfRule>
  </conditionalFormatting>
  <conditionalFormatting sqref="W41:W42">
    <cfRule type="containsText" dxfId="81" priority="136" operator="containsText" text="n/a">
      <formula>NOT(ISERROR(SEARCH("n/a",W41)))</formula>
    </cfRule>
  </conditionalFormatting>
  <conditionalFormatting sqref="W43:W52">
    <cfRule type="cellIs" dxfId="80" priority="135" operator="lessThan">
      <formula>0</formula>
    </cfRule>
  </conditionalFormatting>
  <conditionalFormatting sqref="W53:W54">
    <cfRule type="cellIs" dxfId="79" priority="132" operator="lessThan">
      <formula>0</formula>
    </cfRule>
  </conditionalFormatting>
  <conditionalFormatting sqref="W53:W54">
    <cfRule type="containsText" dxfId="78" priority="131" operator="containsText" text="n/a">
      <formula>NOT(ISERROR(SEARCH("n/a",W53)))</formula>
    </cfRule>
  </conditionalFormatting>
  <conditionalFormatting sqref="W55:W64">
    <cfRule type="containsText" dxfId="77" priority="129" operator="containsText" text="n/a">
      <formula>NOT(ISERROR(SEARCH("n/a",W55)))</formula>
    </cfRule>
  </conditionalFormatting>
  <conditionalFormatting sqref="W65:W66">
    <cfRule type="cellIs" dxfId="76" priority="128" operator="lessThan">
      <formula>0</formula>
    </cfRule>
  </conditionalFormatting>
  <conditionalFormatting sqref="W79:W88">
    <cfRule type="cellIs" dxfId="75" priority="122" operator="lessThan">
      <formula>0</formula>
    </cfRule>
  </conditionalFormatting>
  <conditionalFormatting sqref="W79:W88">
    <cfRule type="containsText" dxfId="74" priority="121" operator="containsText" text="n/a">
      <formula>NOT(ISERROR(SEARCH("n/a",W79)))</formula>
    </cfRule>
  </conditionalFormatting>
  <conditionalFormatting sqref="W77:W78">
    <cfRule type="cellIs" dxfId="73" priority="124" operator="lessThan">
      <formula>0</formula>
    </cfRule>
  </conditionalFormatting>
  <conditionalFormatting sqref="W77:W78">
    <cfRule type="containsText" dxfId="72" priority="123" operator="containsText" text="n/a">
      <formula>NOT(ISERROR(SEARCH("n/a",W77)))</formula>
    </cfRule>
  </conditionalFormatting>
  <conditionalFormatting sqref="W65:W66">
    <cfRule type="containsText" dxfId="71" priority="127" operator="containsText" text="n/a">
      <formula>NOT(ISERROR(SEARCH("n/a",W65)))</formula>
    </cfRule>
  </conditionalFormatting>
  <conditionalFormatting sqref="W67:W76">
    <cfRule type="cellIs" dxfId="70" priority="126" operator="lessThan">
      <formula>0</formula>
    </cfRule>
  </conditionalFormatting>
  <conditionalFormatting sqref="W67:W76">
    <cfRule type="containsText" dxfId="69" priority="125" operator="containsText" text="n/a">
      <formula>NOT(ISERROR(SEARCH("n/a",W67)))</formula>
    </cfRule>
  </conditionalFormatting>
  <conditionalFormatting sqref="W91:W124">
    <cfRule type="cellIs" dxfId="68" priority="116" operator="lessThan">
      <formula>0</formula>
    </cfRule>
  </conditionalFormatting>
  <conditionalFormatting sqref="W91:W124">
    <cfRule type="containsText" dxfId="67" priority="115" operator="containsText" text="n/a">
      <formula>NOT(ISERROR(SEARCH("n/a",W91)))</formula>
    </cfRule>
  </conditionalFormatting>
  <conditionalFormatting sqref="W91:W124">
    <cfRule type="cellIs" dxfId="66" priority="117" operator="lessThan">
      <formula>0</formula>
    </cfRule>
  </conditionalFormatting>
  <conditionalFormatting sqref="W89:W90">
    <cfRule type="cellIs" dxfId="65" priority="120" operator="lessThan">
      <formula>0</formula>
    </cfRule>
  </conditionalFormatting>
  <conditionalFormatting sqref="W89:W90">
    <cfRule type="cellIs" dxfId="64" priority="119" operator="lessThan">
      <formula>0</formula>
    </cfRule>
  </conditionalFormatting>
  <conditionalFormatting sqref="W89:W90">
    <cfRule type="containsText" dxfId="63" priority="118" operator="containsText" text="n/a">
      <formula>NOT(ISERROR(SEARCH("n/a",W89)))</formula>
    </cfRule>
  </conditionalFormatting>
  <conditionalFormatting sqref="W103:W112">
    <cfRule type="cellIs" dxfId="62" priority="110" operator="lessThan">
      <formula>0</formula>
    </cfRule>
  </conditionalFormatting>
  <conditionalFormatting sqref="W103:W112">
    <cfRule type="containsText" dxfId="61" priority="109" operator="containsText" text="n/a">
      <formula>NOT(ISERROR(SEARCH("n/a",W103)))</formula>
    </cfRule>
  </conditionalFormatting>
  <conditionalFormatting sqref="W103:W112">
    <cfRule type="cellIs" dxfId="60" priority="111" operator="lessThan">
      <formula>0</formula>
    </cfRule>
  </conditionalFormatting>
  <conditionalFormatting sqref="W101:W102">
    <cfRule type="cellIs" dxfId="59" priority="114" operator="lessThan">
      <formula>0</formula>
    </cfRule>
  </conditionalFormatting>
  <conditionalFormatting sqref="W101:W102">
    <cfRule type="cellIs" dxfId="58" priority="113" operator="lessThan">
      <formula>0</formula>
    </cfRule>
  </conditionalFormatting>
  <conditionalFormatting sqref="W101:W102">
    <cfRule type="containsText" dxfId="57" priority="112" operator="containsText" text="n/a">
      <formula>NOT(ISERROR(SEARCH("n/a",W101)))</formula>
    </cfRule>
  </conditionalFormatting>
  <conditionalFormatting sqref="W115:W124">
    <cfRule type="cellIs" dxfId="56" priority="104" operator="lessThan">
      <formula>0</formula>
    </cfRule>
  </conditionalFormatting>
  <conditionalFormatting sqref="W115:W124">
    <cfRule type="containsText" dxfId="55" priority="103" operator="containsText" text="n/a">
      <formula>NOT(ISERROR(SEARCH("n/a",W115)))</formula>
    </cfRule>
  </conditionalFormatting>
  <conditionalFormatting sqref="W115:W124">
    <cfRule type="cellIs" dxfId="54" priority="105" operator="lessThan">
      <formula>0</formula>
    </cfRule>
  </conditionalFormatting>
  <conditionalFormatting sqref="W113:W114">
    <cfRule type="cellIs" dxfId="53" priority="108" operator="lessThan">
      <formula>0</formula>
    </cfRule>
  </conditionalFormatting>
  <conditionalFormatting sqref="W113:W114">
    <cfRule type="cellIs" dxfId="52" priority="107" operator="lessThan">
      <formula>0</formula>
    </cfRule>
  </conditionalFormatting>
  <conditionalFormatting sqref="W113:W114">
    <cfRule type="containsText" dxfId="51" priority="106" operator="containsText" text="n/a">
      <formula>NOT(ISERROR(SEARCH("n/a",W113)))</formula>
    </cfRule>
  </conditionalFormatting>
  <conditionalFormatting sqref="X53:Y88 X5:Y16 X101:Y124">
    <cfRule type="cellIs" dxfId="50" priority="102" operator="lessThan">
      <formula>0</formula>
    </cfRule>
  </conditionalFormatting>
  <conditionalFormatting sqref="X19:Y28">
    <cfRule type="cellIs" dxfId="49" priority="95" operator="lessThan">
      <formula>0</formula>
    </cfRule>
  </conditionalFormatting>
  <conditionalFormatting sqref="X5:Y6">
    <cfRule type="cellIs" dxfId="48" priority="101" operator="lessThan">
      <formula>0</formula>
    </cfRule>
  </conditionalFormatting>
  <conditionalFormatting sqref="X19:Y28">
    <cfRule type="cellIs" dxfId="47" priority="96" operator="lessThan">
      <formula>0</formula>
    </cfRule>
  </conditionalFormatting>
  <conditionalFormatting sqref="X5:Y16 X101:Y124">
    <cfRule type="containsText" dxfId="46" priority="100" operator="containsText" text="n/a">
      <formula>NOT(ISERROR(SEARCH("n/a",X5)))</formula>
    </cfRule>
  </conditionalFormatting>
  <conditionalFormatting sqref="X17:Y18">
    <cfRule type="cellIs" dxfId="45" priority="99" operator="lessThan">
      <formula>0</formula>
    </cfRule>
  </conditionalFormatting>
  <conditionalFormatting sqref="X17:Y18">
    <cfRule type="cellIs" dxfId="44" priority="98" operator="lessThan">
      <formula>0</formula>
    </cfRule>
  </conditionalFormatting>
  <conditionalFormatting sqref="X31:Y40">
    <cfRule type="cellIs" dxfId="43" priority="90" operator="lessThan">
      <formula>0</formula>
    </cfRule>
  </conditionalFormatting>
  <conditionalFormatting sqref="X41:Y42">
    <cfRule type="cellIs" dxfId="42" priority="86" operator="lessThan">
      <formula>0</formula>
    </cfRule>
  </conditionalFormatting>
  <conditionalFormatting sqref="X17:Y18">
    <cfRule type="containsText" dxfId="41" priority="97" operator="containsText" text="n/a">
      <formula>NOT(ISERROR(SEARCH("n/a",X17)))</formula>
    </cfRule>
  </conditionalFormatting>
  <conditionalFormatting sqref="X43:Y52">
    <cfRule type="cellIs" dxfId="40" priority="83" operator="lessThan">
      <formula>0</formula>
    </cfRule>
  </conditionalFormatting>
  <conditionalFormatting sqref="X43:Y52">
    <cfRule type="containsText" dxfId="39" priority="82" operator="containsText" text="n/a">
      <formula>NOT(ISERROR(SEARCH("n/a",X43)))</formula>
    </cfRule>
  </conditionalFormatting>
  <conditionalFormatting sqref="X55:Y64">
    <cfRule type="cellIs" dxfId="38" priority="79" operator="lessThan">
      <formula>0</formula>
    </cfRule>
  </conditionalFormatting>
  <conditionalFormatting sqref="X19:Y28">
    <cfRule type="containsText" dxfId="37" priority="94" operator="containsText" text="n/a">
      <formula>NOT(ISERROR(SEARCH("n/a",X19)))</formula>
    </cfRule>
  </conditionalFormatting>
  <conditionalFormatting sqref="X29:Y30">
    <cfRule type="cellIs" dxfId="36" priority="93" operator="lessThan">
      <formula>0</formula>
    </cfRule>
  </conditionalFormatting>
  <conditionalFormatting sqref="X29:Y30">
    <cfRule type="cellIs" dxfId="35" priority="92" operator="lessThan">
      <formula>0</formula>
    </cfRule>
  </conditionalFormatting>
  <conditionalFormatting sqref="X29:Y30">
    <cfRule type="containsText" dxfId="34" priority="91" operator="containsText" text="n/a">
      <formula>NOT(ISERROR(SEARCH("n/a",X29)))</formula>
    </cfRule>
  </conditionalFormatting>
  <conditionalFormatting sqref="X31:Y40">
    <cfRule type="cellIs" dxfId="33" priority="89" operator="lessThan">
      <formula>0</formula>
    </cfRule>
  </conditionalFormatting>
  <conditionalFormatting sqref="X31:Y40">
    <cfRule type="containsText" dxfId="32" priority="88" operator="containsText" text="n/a">
      <formula>NOT(ISERROR(SEARCH("n/a",X31)))</formula>
    </cfRule>
  </conditionalFormatting>
  <conditionalFormatting sqref="X41:Y42">
    <cfRule type="cellIs" dxfId="31" priority="87" operator="lessThan">
      <formula>0</formula>
    </cfRule>
  </conditionalFormatting>
  <conditionalFormatting sqref="X41:Y42">
    <cfRule type="containsText" dxfId="30" priority="85" operator="containsText" text="n/a">
      <formula>NOT(ISERROR(SEARCH("n/a",X41)))</formula>
    </cfRule>
  </conditionalFormatting>
  <conditionalFormatting sqref="X43:Y52">
    <cfRule type="cellIs" dxfId="29" priority="84" operator="lessThan">
      <formula>0</formula>
    </cfRule>
  </conditionalFormatting>
  <conditionalFormatting sqref="X53:Y54">
    <cfRule type="cellIs" dxfId="28" priority="81" operator="lessThan">
      <formula>0</formula>
    </cfRule>
  </conditionalFormatting>
  <conditionalFormatting sqref="X53:Y54">
    <cfRule type="containsText" dxfId="27" priority="80" operator="containsText" text="n/a">
      <formula>NOT(ISERROR(SEARCH("n/a",X53)))</formula>
    </cfRule>
  </conditionalFormatting>
  <conditionalFormatting sqref="X55:Y64">
    <cfRule type="containsText" dxfId="26" priority="78" operator="containsText" text="n/a">
      <formula>NOT(ISERROR(SEARCH("n/a",X55)))</formula>
    </cfRule>
  </conditionalFormatting>
  <conditionalFormatting sqref="X65:Y66">
    <cfRule type="cellIs" dxfId="25" priority="77" operator="lessThan">
      <formula>0</formula>
    </cfRule>
  </conditionalFormatting>
  <conditionalFormatting sqref="X79:Y88">
    <cfRule type="cellIs" dxfId="24" priority="71" operator="lessThan">
      <formula>0</formula>
    </cfRule>
  </conditionalFormatting>
  <conditionalFormatting sqref="X79:Y88">
    <cfRule type="containsText" dxfId="23" priority="70" operator="containsText" text="n/a">
      <formula>NOT(ISERROR(SEARCH("n/a",X79)))</formula>
    </cfRule>
  </conditionalFormatting>
  <conditionalFormatting sqref="X77:Y78">
    <cfRule type="cellIs" dxfId="22" priority="73" operator="lessThan">
      <formula>0</formula>
    </cfRule>
  </conditionalFormatting>
  <conditionalFormatting sqref="X77:Y78">
    <cfRule type="containsText" dxfId="21" priority="72" operator="containsText" text="n/a">
      <formula>NOT(ISERROR(SEARCH("n/a",X77)))</formula>
    </cfRule>
  </conditionalFormatting>
  <conditionalFormatting sqref="X65:Y66">
    <cfRule type="containsText" dxfId="20" priority="76" operator="containsText" text="n/a">
      <formula>NOT(ISERROR(SEARCH("n/a",X65)))</formula>
    </cfRule>
  </conditionalFormatting>
  <conditionalFormatting sqref="X67:Y76">
    <cfRule type="cellIs" dxfId="19" priority="75" operator="lessThan">
      <formula>0</formula>
    </cfRule>
  </conditionalFormatting>
  <conditionalFormatting sqref="X67:Y76">
    <cfRule type="containsText" dxfId="18" priority="74" operator="containsText" text="n/a">
      <formula>NOT(ISERROR(SEARCH("n/a",X67)))</formula>
    </cfRule>
  </conditionalFormatting>
  <conditionalFormatting sqref="X91:Y124">
    <cfRule type="cellIs" dxfId="17" priority="65" operator="lessThan">
      <formula>0</formula>
    </cfRule>
  </conditionalFormatting>
  <conditionalFormatting sqref="X91:Y124">
    <cfRule type="containsText" dxfId="16" priority="64" operator="containsText" text="n/a">
      <formula>NOT(ISERROR(SEARCH("n/a",X91)))</formula>
    </cfRule>
  </conditionalFormatting>
  <conditionalFormatting sqref="X91:Y124">
    <cfRule type="cellIs" dxfId="15" priority="66" operator="lessThan">
      <formula>0</formula>
    </cfRule>
  </conditionalFormatting>
  <conditionalFormatting sqref="X89:Y90">
    <cfRule type="cellIs" dxfId="14" priority="69" operator="lessThan">
      <formula>0</formula>
    </cfRule>
  </conditionalFormatting>
  <conditionalFormatting sqref="X89:Y90">
    <cfRule type="cellIs" dxfId="13" priority="68" operator="lessThan">
      <formula>0</formula>
    </cfRule>
  </conditionalFormatting>
  <conditionalFormatting sqref="X89:Y90">
    <cfRule type="containsText" dxfId="12" priority="67" operator="containsText" text="n/a">
      <formula>NOT(ISERROR(SEARCH("n/a",X89)))</formula>
    </cfRule>
  </conditionalFormatting>
  <conditionalFormatting sqref="X103:Y112">
    <cfRule type="cellIs" dxfId="11" priority="59" operator="lessThan">
      <formula>0</formula>
    </cfRule>
  </conditionalFormatting>
  <conditionalFormatting sqref="X103:Y112">
    <cfRule type="containsText" dxfId="10" priority="58" operator="containsText" text="n/a">
      <formula>NOT(ISERROR(SEARCH("n/a",X103)))</formula>
    </cfRule>
  </conditionalFormatting>
  <conditionalFormatting sqref="X103:Y112">
    <cfRule type="cellIs" dxfId="9" priority="60" operator="lessThan">
      <formula>0</formula>
    </cfRule>
  </conditionalFormatting>
  <conditionalFormatting sqref="X101:Y102">
    <cfRule type="cellIs" dxfId="8" priority="63" operator="lessThan">
      <formula>0</formula>
    </cfRule>
  </conditionalFormatting>
  <conditionalFormatting sqref="X101:Y102">
    <cfRule type="cellIs" dxfId="7" priority="62" operator="lessThan">
      <formula>0</formula>
    </cfRule>
  </conditionalFormatting>
  <conditionalFormatting sqref="X101:Y102">
    <cfRule type="containsText" dxfId="6" priority="61" operator="containsText" text="n/a">
      <formula>NOT(ISERROR(SEARCH("n/a",X101)))</formula>
    </cfRule>
  </conditionalFormatting>
  <conditionalFormatting sqref="X115:Y124">
    <cfRule type="cellIs" dxfId="5" priority="53" operator="lessThan">
      <formula>0</formula>
    </cfRule>
  </conditionalFormatting>
  <conditionalFormatting sqref="X115:Y124">
    <cfRule type="containsText" dxfId="4" priority="52" operator="containsText" text="n/a">
      <formula>NOT(ISERROR(SEARCH("n/a",X115)))</formula>
    </cfRule>
  </conditionalFormatting>
  <conditionalFormatting sqref="X115:Y124">
    <cfRule type="cellIs" dxfId="3" priority="54" operator="lessThan">
      <formula>0</formula>
    </cfRule>
  </conditionalFormatting>
  <conditionalFormatting sqref="X113:Y114">
    <cfRule type="cellIs" dxfId="2" priority="57" operator="lessThan">
      <formula>0</formula>
    </cfRule>
  </conditionalFormatting>
  <conditionalFormatting sqref="X113:Y114">
    <cfRule type="cellIs" dxfId="1" priority="56" operator="lessThan">
      <formula>0</formula>
    </cfRule>
  </conditionalFormatting>
  <conditionalFormatting sqref="X113:Y114">
    <cfRule type="containsText" dxfId="0" priority="55" operator="containsText" text="n/a">
      <formula>NOT(ISERROR(SEARCH("n/a",X113)))</formula>
    </cfRule>
  </conditionalFormatting>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91410D-6B5A-48AA-B222-74FB285B3C0F}">
  <sheetPr>
    <tabColor theme="0" tint="-0.499984740745262"/>
  </sheetPr>
  <dimension ref="A1:CE156"/>
  <sheetViews>
    <sheetView zoomScaleNormal="100" workbookViewId="0">
      <selection activeCell="H8" sqref="H8"/>
    </sheetView>
  </sheetViews>
  <sheetFormatPr defaultColWidth="8.88671875" defaultRowHeight="13.2" x14ac:dyDescent="0.25"/>
  <cols>
    <col min="1" max="1" width="23.109375" style="132" customWidth="1"/>
    <col min="2" max="2" width="12.6640625" style="132" bestFit="1" customWidth="1"/>
    <col min="3" max="3" width="8.88671875" style="131" customWidth="1"/>
    <col min="4" max="5" width="9.6640625" style="131" customWidth="1"/>
    <col min="6" max="7" width="6.88671875" style="132" customWidth="1"/>
    <col min="8" max="8" width="16.33203125" style="132" customWidth="1"/>
    <col min="9" max="9" width="14.44140625" style="132" customWidth="1"/>
    <col min="10" max="10" width="6" style="132" bestFit="1" customWidth="1"/>
    <col min="11" max="20" width="10.6640625" style="132" customWidth="1"/>
    <col min="21" max="248" width="6.88671875" style="132" customWidth="1"/>
    <col min="249" max="249" width="25.44140625" style="132" customWidth="1"/>
    <col min="250" max="504" width="6.88671875" style="132" customWidth="1"/>
    <col min="505" max="505" width="25.44140625" style="132" customWidth="1"/>
    <col min="506" max="760" width="6.88671875" style="132" customWidth="1"/>
    <col min="761" max="761" width="25.44140625" style="132" customWidth="1"/>
    <col min="762" max="1016" width="6.88671875" style="132" customWidth="1"/>
    <col min="1017" max="1017" width="25.44140625" style="132" customWidth="1"/>
    <col min="1018" max="1272" width="6.88671875" style="132" customWidth="1"/>
    <col min="1273" max="1273" width="25.44140625" style="132" customWidth="1"/>
    <col min="1274" max="1528" width="6.88671875" style="132" customWidth="1"/>
    <col min="1529" max="1529" width="25.44140625" style="132" customWidth="1"/>
    <col min="1530" max="1784" width="6.88671875" style="132" customWidth="1"/>
    <col min="1785" max="1785" width="25.44140625" style="132" customWidth="1"/>
    <col min="1786" max="2040" width="6.88671875" style="132" customWidth="1"/>
    <col min="2041" max="2041" width="25.44140625" style="132" customWidth="1"/>
    <col min="2042" max="2296" width="6.88671875" style="132" customWidth="1"/>
    <col min="2297" max="2297" width="25.44140625" style="132" customWidth="1"/>
    <col min="2298" max="2552" width="6.88671875" style="132" customWidth="1"/>
    <col min="2553" max="2553" width="25.44140625" style="132" customWidth="1"/>
    <col min="2554" max="2808" width="6.88671875" style="132" customWidth="1"/>
    <col min="2809" max="2809" width="25.44140625" style="132" customWidth="1"/>
    <col min="2810" max="3064" width="6.88671875" style="132" customWidth="1"/>
    <col min="3065" max="3065" width="25.44140625" style="132" customWidth="1"/>
    <col min="3066" max="3320" width="6.88671875" style="132" customWidth="1"/>
    <col min="3321" max="3321" width="25.44140625" style="132" customWidth="1"/>
    <col min="3322" max="3576" width="6.88671875" style="132" customWidth="1"/>
    <col min="3577" max="3577" width="25.44140625" style="132" customWidth="1"/>
    <col min="3578" max="3832" width="6.88671875" style="132" customWidth="1"/>
    <col min="3833" max="3833" width="25.44140625" style="132" customWidth="1"/>
    <col min="3834" max="4088" width="6.88671875" style="132" customWidth="1"/>
    <col min="4089" max="4089" width="25.44140625" style="132" customWidth="1"/>
    <col min="4090" max="4344" width="6.88671875" style="132" customWidth="1"/>
    <col min="4345" max="4345" width="25.44140625" style="132" customWidth="1"/>
    <col min="4346" max="4600" width="6.88671875" style="132" customWidth="1"/>
    <col min="4601" max="4601" width="25.44140625" style="132" customWidth="1"/>
    <col min="4602" max="4856" width="6.88671875" style="132" customWidth="1"/>
    <col min="4857" max="4857" width="25.44140625" style="132" customWidth="1"/>
    <col min="4858" max="5112" width="6.88671875" style="132" customWidth="1"/>
    <col min="5113" max="5113" width="25.44140625" style="132" customWidth="1"/>
    <col min="5114" max="5368" width="6.88671875" style="132" customWidth="1"/>
    <col min="5369" max="5369" width="25.44140625" style="132" customWidth="1"/>
    <col min="5370" max="5624" width="6.88671875" style="132" customWidth="1"/>
    <col min="5625" max="5625" width="25.44140625" style="132" customWidth="1"/>
    <col min="5626" max="5880" width="6.88671875" style="132" customWidth="1"/>
    <col min="5881" max="5881" width="25.44140625" style="132" customWidth="1"/>
    <col min="5882" max="6136" width="6.88671875" style="132" customWidth="1"/>
    <col min="6137" max="6137" width="25.44140625" style="132" customWidth="1"/>
    <col min="6138" max="6392" width="6.88671875" style="132" customWidth="1"/>
    <col min="6393" max="6393" width="25.44140625" style="132" customWidth="1"/>
    <col min="6394" max="6648" width="6.88671875" style="132" customWidth="1"/>
    <col min="6649" max="6649" width="25.44140625" style="132" customWidth="1"/>
    <col min="6650" max="6904" width="6.88671875" style="132" customWidth="1"/>
    <col min="6905" max="6905" width="25.44140625" style="132" customWidth="1"/>
    <col min="6906" max="7160" width="6.88671875" style="132" customWidth="1"/>
    <col min="7161" max="7161" width="25.44140625" style="132" customWidth="1"/>
    <col min="7162" max="7416" width="6.88671875" style="132" customWidth="1"/>
    <col min="7417" max="7417" width="25.44140625" style="132" customWidth="1"/>
    <col min="7418" max="7672" width="6.88671875" style="132" customWidth="1"/>
    <col min="7673" max="7673" width="25.44140625" style="132" customWidth="1"/>
    <col min="7674" max="7928" width="6.88671875" style="132" customWidth="1"/>
    <col min="7929" max="7929" width="25.44140625" style="132" customWidth="1"/>
    <col min="7930" max="8184" width="6.88671875" style="132" customWidth="1"/>
    <col min="8185" max="8185" width="25.44140625" style="132" customWidth="1"/>
    <col min="8186" max="8440" width="6.88671875" style="132" customWidth="1"/>
    <col min="8441" max="8441" width="25.44140625" style="132" customWidth="1"/>
    <col min="8442" max="8696" width="6.88671875" style="132" customWidth="1"/>
    <col min="8697" max="8697" width="25.44140625" style="132" customWidth="1"/>
    <col min="8698" max="8952" width="6.88671875" style="132" customWidth="1"/>
    <col min="8953" max="8953" width="25.44140625" style="132" customWidth="1"/>
    <col min="8954" max="9208" width="6.88671875" style="132" customWidth="1"/>
    <col min="9209" max="9209" width="25.44140625" style="132" customWidth="1"/>
    <col min="9210" max="9464" width="6.88671875" style="132" customWidth="1"/>
    <col min="9465" max="9465" width="25.44140625" style="132" customWidth="1"/>
    <col min="9466" max="9720" width="6.88671875" style="132" customWidth="1"/>
    <col min="9721" max="9721" width="25.44140625" style="132" customWidth="1"/>
    <col min="9722" max="9976" width="6.88671875" style="132" customWidth="1"/>
    <col min="9977" max="9977" width="25.44140625" style="132" customWidth="1"/>
    <col min="9978" max="10232" width="6.88671875" style="132" customWidth="1"/>
    <col min="10233" max="10233" width="25.44140625" style="132" customWidth="1"/>
    <col min="10234" max="10488" width="6.88671875" style="132" customWidth="1"/>
    <col min="10489" max="10489" width="25.44140625" style="132" customWidth="1"/>
    <col min="10490" max="10744" width="6.88671875" style="132" customWidth="1"/>
    <col min="10745" max="10745" width="25.44140625" style="132" customWidth="1"/>
    <col min="10746" max="11000" width="6.88671875" style="132" customWidth="1"/>
    <col min="11001" max="11001" width="25.44140625" style="132" customWidth="1"/>
    <col min="11002" max="11256" width="6.88671875" style="132" customWidth="1"/>
    <col min="11257" max="11257" width="25.44140625" style="132" customWidth="1"/>
    <col min="11258" max="11512" width="6.88671875" style="132" customWidth="1"/>
    <col min="11513" max="11513" width="25.44140625" style="132" customWidth="1"/>
    <col min="11514" max="11768" width="6.88671875" style="132" customWidth="1"/>
    <col min="11769" max="11769" width="25.44140625" style="132" customWidth="1"/>
    <col min="11770" max="12024" width="6.88671875" style="132" customWidth="1"/>
    <col min="12025" max="12025" width="25.44140625" style="132" customWidth="1"/>
    <col min="12026" max="12280" width="6.88671875" style="132" customWidth="1"/>
    <col min="12281" max="12281" width="25.44140625" style="132" customWidth="1"/>
    <col min="12282" max="12536" width="6.88671875" style="132" customWidth="1"/>
    <col min="12537" max="12537" width="25.44140625" style="132" customWidth="1"/>
    <col min="12538" max="12792" width="6.88671875" style="132" customWidth="1"/>
    <col min="12793" max="12793" width="25.44140625" style="132" customWidth="1"/>
    <col min="12794" max="13048" width="6.88671875" style="132" customWidth="1"/>
    <col min="13049" max="13049" width="25.44140625" style="132" customWidth="1"/>
    <col min="13050" max="13304" width="6.88671875" style="132" customWidth="1"/>
    <col min="13305" max="13305" width="25.44140625" style="132" customWidth="1"/>
    <col min="13306" max="13560" width="6.88671875" style="132" customWidth="1"/>
    <col min="13561" max="13561" width="25.44140625" style="132" customWidth="1"/>
    <col min="13562" max="13816" width="6.88671875" style="132" customWidth="1"/>
    <col min="13817" max="13817" width="25.44140625" style="132" customWidth="1"/>
    <col min="13818" max="14072" width="6.88671875" style="132" customWidth="1"/>
    <col min="14073" max="14073" width="25.44140625" style="132" customWidth="1"/>
    <col min="14074" max="14328" width="6.88671875" style="132" customWidth="1"/>
    <col min="14329" max="14329" width="25.44140625" style="132" customWidth="1"/>
    <col min="14330" max="14584" width="6.88671875" style="132" customWidth="1"/>
    <col min="14585" max="14585" width="25.44140625" style="132" customWidth="1"/>
    <col min="14586" max="14840" width="6.88671875" style="132" customWidth="1"/>
    <col min="14841" max="14841" width="25.44140625" style="132" customWidth="1"/>
    <col min="14842" max="15096" width="6.88671875" style="132" customWidth="1"/>
    <col min="15097" max="15097" width="25.44140625" style="132" customWidth="1"/>
    <col min="15098" max="15352" width="6.88671875" style="132" customWidth="1"/>
    <col min="15353" max="15353" width="25.44140625" style="132" customWidth="1"/>
    <col min="15354" max="15608" width="6.88671875" style="132" customWidth="1"/>
    <col min="15609" max="15609" width="25.44140625" style="132" customWidth="1"/>
    <col min="15610" max="15864" width="6.88671875" style="132" customWidth="1"/>
    <col min="15865" max="15865" width="25.44140625" style="132" customWidth="1"/>
    <col min="15866" max="16120" width="6.88671875" style="132" customWidth="1"/>
    <col min="16121" max="16121" width="25.44140625" style="132" customWidth="1"/>
    <col min="16122" max="16384" width="6.88671875" style="132" customWidth="1"/>
  </cols>
  <sheetData>
    <row r="1" spans="1:83" ht="21" x14ac:dyDescent="0.4">
      <c r="A1" s="127" t="s">
        <v>265</v>
      </c>
    </row>
    <row r="2" spans="1:83" x14ac:dyDescent="0.25">
      <c r="A2" s="14" t="s">
        <v>336</v>
      </c>
    </row>
    <row r="3" spans="1:83" x14ac:dyDescent="0.25">
      <c r="A3" s="137" t="s">
        <v>266</v>
      </c>
    </row>
    <row r="4" spans="1:83" x14ac:dyDescent="0.25">
      <c r="H4" s="432" t="s">
        <v>423</v>
      </c>
    </row>
    <row r="5" spans="1:83" x14ac:dyDescent="0.25">
      <c r="A5" s="153" t="s">
        <v>273</v>
      </c>
      <c r="B5" s="150"/>
      <c r="C5" s="150"/>
      <c r="D5" s="141"/>
      <c r="E5" s="151"/>
      <c r="I5" s="575" t="s">
        <v>33</v>
      </c>
      <c r="J5" s="579">
        <v>0</v>
      </c>
      <c r="K5" s="579">
        <v>1</v>
      </c>
      <c r="L5" s="579">
        <v>2</v>
      </c>
      <c r="M5" s="579">
        <v>3</v>
      </c>
      <c r="N5" s="579">
        <v>4</v>
      </c>
      <c r="O5" s="579">
        <v>5</v>
      </c>
      <c r="P5" s="579">
        <v>6</v>
      </c>
      <c r="Q5" s="579">
        <v>7</v>
      </c>
      <c r="R5" s="579">
        <v>8</v>
      </c>
      <c r="S5" s="579">
        <v>9</v>
      </c>
      <c r="T5" s="579">
        <v>10</v>
      </c>
      <c r="U5" s="579">
        <v>11</v>
      </c>
      <c r="V5" s="579">
        <v>12</v>
      </c>
      <c r="W5" s="579">
        <v>13</v>
      </c>
      <c r="X5" s="579">
        <v>14</v>
      </c>
      <c r="Y5" s="579">
        <v>15</v>
      </c>
      <c r="Z5" s="579">
        <v>16</v>
      </c>
      <c r="AA5" s="579">
        <v>17</v>
      </c>
      <c r="AB5" s="579">
        <v>18</v>
      </c>
      <c r="AC5" s="579">
        <v>19</v>
      </c>
      <c r="AD5" s="579">
        <v>20</v>
      </c>
      <c r="AE5" s="579">
        <v>21</v>
      </c>
      <c r="AF5" s="579">
        <v>22</v>
      </c>
      <c r="AG5" s="579">
        <v>23</v>
      </c>
      <c r="AH5" s="579">
        <v>24</v>
      </c>
      <c r="AI5" s="579">
        <v>25</v>
      </c>
      <c r="AJ5" s="579">
        <v>26</v>
      </c>
      <c r="AK5" s="579">
        <v>27</v>
      </c>
      <c r="AL5" s="579">
        <v>28</v>
      </c>
      <c r="AM5" s="579">
        <v>29</v>
      </c>
      <c r="AN5" s="579">
        <v>30</v>
      </c>
      <c r="AO5" s="579">
        <v>31</v>
      </c>
      <c r="AP5" s="579">
        <v>32</v>
      </c>
      <c r="AQ5" s="579">
        <v>33</v>
      </c>
      <c r="AR5" s="579">
        <v>34</v>
      </c>
      <c r="AS5" s="579">
        <v>35</v>
      </c>
      <c r="AT5" s="579">
        <v>36</v>
      </c>
      <c r="AU5" s="579">
        <v>37</v>
      </c>
      <c r="AV5" s="579">
        <v>38</v>
      </c>
      <c r="AW5" s="579">
        <v>39</v>
      </c>
      <c r="AX5" s="579">
        <v>40</v>
      </c>
      <c r="AY5" s="579">
        <v>41</v>
      </c>
      <c r="AZ5" s="579">
        <v>42</v>
      </c>
      <c r="BA5" s="579">
        <v>43</v>
      </c>
      <c r="BB5" s="579">
        <v>44</v>
      </c>
      <c r="BC5" s="579">
        <v>45</v>
      </c>
      <c r="BD5" s="579">
        <v>46</v>
      </c>
      <c r="BE5" s="579">
        <v>47</v>
      </c>
      <c r="BF5" s="579">
        <v>48</v>
      </c>
      <c r="BG5" s="579">
        <v>49</v>
      </c>
      <c r="BH5" s="580">
        <v>50</v>
      </c>
      <c r="BK5" s="8"/>
      <c r="BL5" s="8"/>
      <c r="BM5" s="8"/>
      <c r="BN5" s="8"/>
      <c r="BO5" s="8"/>
      <c r="BP5" s="8"/>
      <c r="BQ5" s="8"/>
      <c r="BR5" s="8"/>
      <c r="BS5" s="8"/>
      <c r="BT5" s="8"/>
      <c r="BU5" s="8"/>
      <c r="BV5" s="8"/>
      <c r="BW5" s="8"/>
      <c r="BX5" s="8"/>
      <c r="BY5" s="8"/>
      <c r="BZ5" s="8"/>
      <c r="CA5" s="8"/>
      <c r="CB5" s="8"/>
      <c r="CC5" s="8"/>
      <c r="CD5" s="8"/>
      <c r="CE5" s="8"/>
    </row>
    <row r="6" spans="1:83" x14ac:dyDescent="0.25">
      <c r="A6" s="581" t="s">
        <v>421</v>
      </c>
      <c r="B6" s="550">
        <f>'Costs (by site)'!C24</f>
        <v>0</v>
      </c>
      <c r="C6" s="135"/>
      <c r="D6" s="136"/>
      <c r="E6" s="147"/>
      <c r="I6" s="573" t="str">
        <f>H22</f>
        <v>PWLB EIP</v>
      </c>
      <c r="J6" s="576"/>
      <c r="K6" s="576">
        <f t="shared" ref="K6:AP6" si="0">-K26</f>
        <v>0</v>
      </c>
      <c r="L6" s="576">
        <f t="shared" si="0"/>
        <v>0</v>
      </c>
      <c r="M6" s="576">
        <f t="shared" si="0"/>
        <v>0</v>
      </c>
      <c r="N6" s="576">
        <f t="shared" si="0"/>
        <v>0</v>
      </c>
      <c r="O6" s="576">
        <f t="shared" si="0"/>
        <v>0</v>
      </c>
      <c r="P6" s="576">
        <f t="shared" si="0"/>
        <v>0</v>
      </c>
      <c r="Q6" s="576">
        <f t="shared" si="0"/>
        <v>0</v>
      </c>
      <c r="R6" s="576">
        <f t="shared" si="0"/>
        <v>0</v>
      </c>
      <c r="S6" s="576">
        <f t="shared" si="0"/>
        <v>0</v>
      </c>
      <c r="T6" s="576">
        <f t="shared" si="0"/>
        <v>0</v>
      </c>
      <c r="U6" s="576">
        <f t="shared" si="0"/>
        <v>0</v>
      </c>
      <c r="V6" s="576">
        <f t="shared" si="0"/>
        <v>0</v>
      </c>
      <c r="W6" s="576">
        <f t="shared" si="0"/>
        <v>0</v>
      </c>
      <c r="X6" s="576">
        <f t="shared" si="0"/>
        <v>0</v>
      </c>
      <c r="Y6" s="576">
        <f t="shared" si="0"/>
        <v>0</v>
      </c>
      <c r="Z6" s="576">
        <f t="shared" si="0"/>
        <v>0</v>
      </c>
      <c r="AA6" s="576">
        <f t="shared" si="0"/>
        <v>0</v>
      </c>
      <c r="AB6" s="576">
        <f t="shared" si="0"/>
        <v>0</v>
      </c>
      <c r="AC6" s="576">
        <f t="shared" si="0"/>
        <v>0</v>
      </c>
      <c r="AD6" s="576">
        <f t="shared" si="0"/>
        <v>0</v>
      </c>
      <c r="AE6" s="576">
        <f t="shared" si="0"/>
        <v>0</v>
      </c>
      <c r="AF6" s="576">
        <f t="shared" si="0"/>
        <v>0</v>
      </c>
      <c r="AG6" s="576">
        <f t="shared" si="0"/>
        <v>0</v>
      </c>
      <c r="AH6" s="576">
        <f t="shared" si="0"/>
        <v>0</v>
      </c>
      <c r="AI6" s="576">
        <f t="shared" si="0"/>
        <v>0</v>
      </c>
      <c r="AJ6" s="576">
        <f t="shared" si="0"/>
        <v>0</v>
      </c>
      <c r="AK6" s="576">
        <f t="shared" si="0"/>
        <v>0</v>
      </c>
      <c r="AL6" s="576">
        <f t="shared" si="0"/>
        <v>0</v>
      </c>
      <c r="AM6" s="576">
        <f t="shared" si="0"/>
        <v>0</v>
      </c>
      <c r="AN6" s="576">
        <f t="shared" si="0"/>
        <v>0</v>
      </c>
      <c r="AO6" s="576">
        <f t="shared" si="0"/>
        <v>0</v>
      </c>
      <c r="AP6" s="576">
        <f t="shared" si="0"/>
        <v>0</v>
      </c>
      <c r="AQ6" s="576">
        <f t="shared" ref="AQ6:BH6" si="1">-AQ26</f>
        <v>0</v>
      </c>
      <c r="AR6" s="576">
        <f t="shared" si="1"/>
        <v>0</v>
      </c>
      <c r="AS6" s="576">
        <f t="shared" si="1"/>
        <v>0</v>
      </c>
      <c r="AT6" s="576">
        <f t="shared" si="1"/>
        <v>0</v>
      </c>
      <c r="AU6" s="576">
        <f t="shared" si="1"/>
        <v>0</v>
      </c>
      <c r="AV6" s="576">
        <f t="shared" si="1"/>
        <v>0</v>
      </c>
      <c r="AW6" s="576">
        <f t="shared" si="1"/>
        <v>0</v>
      </c>
      <c r="AX6" s="576">
        <f t="shared" si="1"/>
        <v>0</v>
      </c>
      <c r="AY6" s="576">
        <f t="shared" si="1"/>
        <v>0</v>
      </c>
      <c r="AZ6" s="576">
        <f t="shared" si="1"/>
        <v>0</v>
      </c>
      <c r="BA6" s="576">
        <f t="shared" si="1"/>
        <v>0</v>
      </c>
      <c r="BB6" s="576">
        <f t="shared" si="1"/>
        <v>0</v>
      </c>
      <c r="BC6" s="576">
        <f t="shared" si="1"/>
        <v>0</v>
      </c>
      <c r="BD6" s="576">
        <f t="shared" si="1"/>
        <v>0</v>
      </c>
      <c r="BE6" s="576">
        <f t="shared" si="1"/>
        <v>0</v>
      </c>
      <c r="BF6" s="576">
        <f t="shared" si="1"/>
        <v>0</v>
      </c>
      <c r="BG6" s="576">
        <f t="shared" si="1"/>
        <v>0</v>
      </c>
      <c r="BH6" s="577">
        <f t="shared" si="1"/>
        <v>0</v>
      </c>
      <c r="BI6" s="112"/>
      <c r="BJ6" s="112"/>
      <c r="BK6" s="112"/>
      <c r="BL6" s="112"/>
      <c r="BM6" s="112"/>
      <c r="BN6" s="112"/>
      <c r="BO6" s="112"/>
      <c r="BP6" s="112"/>
      <c r="BQ6" s="112"/>
      <c r="BR6" s="112"/>
      <c r="BS6" s="112"/>
      <c r="BT6" s="112"/>
      <c r="BU6" s="112"/>
      <c r="BV6" s="5"/>
      <c r="BW6" s="5"/>
      <c r="BX6" s="5"/>
      <c r="BY6" s="5"/>
      <c r="BZ6" s="5"/>
      <c r="CA6" s="5"/>
      <c r="CB6" s="5"/>
      <c r="CC6" s="5"/>
      <c r="CD6" s="5"/>
      <c r="CE6" s="5"/>
    </row>
    <row r="7" spans="1:83" x14ac:dyDescent="0.25">
      <c r="A7" s="134" t="s">
        <v>79</v>
      </c>
      <c r="B7" s="582">
        <f>'Costs (by site)'!C26</f>
        <v>0</v>
      </c>
      <c r="C7" s="135" t="s">
        <v>8</v>
      </c>
      <c r="D7" s="136"/>
      <c r="E7" s="147"/>
      <c r="I7" s="573" t="str">
        <f>H28</f>
        <v>PWLB Annuity</v>
      </c>
      <c r="J7" s="576"/>
      <c r="K7" s="576">
        <f t="shared" ref="K7:AP7" si="2">-K32</f>
        <v>0</v>
      </c>
      <c r="L7" s="576">
        <f t="shared" si="2"/>
        <v>0</v>
      </c>
      <c r="M7" s="576">
        <f t="shared" si="2"/>
        <v>0</v>
      </c>
      <c r="N7" s="576">
        <f t="shared" si="2"/>
        <v>0</v>
      </c>
      <c r="O7" s="576">
        <f t="shared" si="2"/>
        <v>0</v>
      </c>
      <c r="P7" s="576">
        <f t="shared" si="2"/>
        <v>0</v>
      </c>
      <c r="Q7" s="576">
        <f t="shared" si="2"/>
        <v>0</v>
      </c>
      <c r="R7" s="576">
        <f t="shared" si="2"/>
        <v>0</v>
      </c>
      <c r="S7" s="576">
        <f t="shared" si="2"/>
        <v>0</v>
      </c>
      <c r="T7" s="576">
        <f t="shared" si="2"/>
        <v>0</v>
      </c>
      <c r="U7" s="576">
        <f t="shared" si="2"/>
        <v>0</v>
      </c>
      <c r="V7" s="576">
        <f t="shared" si="2"/>
        <v>0</v>
      </c>
      <c r="W7" s="576">
        <f t="shared" si="2"/>
        <v>0</v>
      </c>
      <c r="X7" s="576">
        <f t="shared" si="2"/>
        <v>0</v>
      </c>
      <c r="Y7" s="576">
        <f t="shared" si="2"/>
        <v>0</v>
      </c>
      <c r="Z7" s="576">
        <f t="shared" si="2"/>
        <v>0</v>
      </c>
      <c r="AA7" s="576">
        <f t="shared" si="2"/>
        <v>0</v>
      </c>
      <c r="AB7" s="576">
        <f t="shared" si="2"/>
        <v>0</v>
      </c>
      <c r="AC7" s="576">
        <f t="shared" si="2"/>
        <v>0</v>
      </c>
      <c r="AD7" s="576">
        <f t="shared" si="2"/>
        <v>0</v>
      </c>
      <c r="AE7" s="576">
        <f t="shared" si="2"/>
        <v>0</v>
      </c>
      <c r="AF7" s="576">
        <f t="shared" si="2"/>
        <v>0</v>
      </c>
      <c r="AG7" s="576">
        <f t="shared" si="2"/>
        <v>0</v>
      </c>
      <c r="AH7" s="576">
        <f t="shared" si="2"/>
        <v>0</v>
      </c>
      <c r="AI7" s="576">
        <f t="shared" si="2"/>
        <v>0</v>
      </c>
      <c r="AJ7" s="576">
        <f t="shared" si="2"/>
        <v>0</v>
      </c>
      <c r="AK7" s="576">
        <f t="shared" si="2"/>
        <v>0</v>
      </c>
      <c r="AL7" s="576">
        <f t="shared" si="2"/>
        <v>0</v>
      </c>
      <c r="AM7" s="576">
        <f t="shared" si="2"/>
        <v>0</v>
      </c>
      <c r="AN7" s="576">
        <f t="shared" si="2"/>
        <v>0</v>
      </c>
      <c r="AO7" s="576">
        <f t="shared" si="2"/>
        <v>0</v>
      </c>
      <c r="AP7" s="576">
        <f t="shared" si="2"/>
        <v>0</v>
      </c>
      <c r="AQ7" s="576">
        <f t="shared" ref="AQ7:BH7" si="3">-AQ32</f>
        <v>0</v>
      </c>
      <c r="AR7" s="576">
        <f t="shared" si="3"/>
        <v>0</v>
      </c>
      <c r="AS7" s="576">
        <f t="shared" si="3"/>
        <v>0</v>
      </c>
      <c r="AT7" s="576">
        <f t="shared" si="3"/>
        <v>0</v>
      </c>
      <c r="AU7" s="576">
        <f t="shared" si="3"/>
        <v>0</v>
      </c>
      <c r="AV7" s="576">
        <f t="shared" si="3"/>
        <v>0</v>
      </c>
      <c r="AW7" s="576">
        <f t="shared" si="3"/>
        <v>0</v>
      </c>
      <c r="AX7" s="576">
        <f t="shared" si="3"/>
        <v>0</v>
      </c>
      <c r="AY7" s="576">
        <f t="shared" si="3"/>
        <v>0</v>
      </c>
      <c r="AZ7" s="576">
        <f t="shared" si="3"/>
        <v>0</v>
      </c>
      <c r="BA7" s="576">
        <f t="shared" si="3"/>
        <v>0</v>
      </c>
      <c r="BB7" s="576">
        <f t="shared" si="3"/>
        <v>0</v>
      </c>
      <c r="BC7" s="576">
        <f t="shared" si="3"/>
        <v>0</v>
      </c>
      <c r="BD7" s="576">
        <f t="shared" si="3"/>
        <v>0</v>
      </c>
      <c r="BE7" s="576">
        <f t="shared" si="3"/>
        <v>0</v>
      </c>
      <c r="BF7" s="576">
        <f t="shared" si="3"/>
        <v>0</v>
      </c>
      <c r="BG7" s="576">
        <f t="shared" si="3"/>
        <v>0</v>
      </c>
      <c r="BH7" s="577">
        <f t="shared" si="3"/>
        <v>0</v>
      </c>
      <c r="BI7" s="112"/>
      <c r="BJ7" s="112"/>
      <c r="BK7" s="112"/>
      <c r="BL7" s="112"/>
      <c r="BM7" s="112"/>
      <c r="BN7" s="112"/>
      <c r="BO7" s="112"/>
      <c r="BP7" s="112"/>
      <c r="BQ7" s="112"/>
      <c r="BR7" s="112"/>
      <c r="BS7" s="112"/>
      <c r="BT7" s="112"/>
      <c r="BU7" s="112"/>
      <c r="BV7" s="5"/>
      <c r="BW7" s="5"/>
      <c r="BX7" s="5"/>
      <c r="BY7" s="5"/>
      <c r="BZ7" s="5"/>
      <c r="CA7" s="5"/>
      <c r="CB7" s="5"/>
      <c r="CC7" s="5"/>
      <c r="CD7" s="5"/>
      <c r="CE7" s="5"/>
    </row>
    <row r="8" spans="1:83" x14ac:dyDescent="0.25">
      <c r="A8" s="134" t="s">
        <v>420</v>
      </c>
      <c r="B8" s="583" t="str">
        <f>'Costs (by site)'!C25</f>
        <v>Standard APR</v>
      </c>
      <c r="C8" s="135"/>
      <c r="D8" s="136"/>
      <c r="E8" s="147"/>
      <c r="I8" s="573" t="str">
        <f>H34</f>
        <v>PWLB Maturity</v>
      </c>
      <c r="J8" s="576"/>
      <c r="K8" s="576">
        <f t="shared" ref="K8:AP8" si="4">-K38</f>
        <v>0</v>
      </c>
      <c r="L8" s="576">
        <f t="shared" si="4"/>
        <v>0</v>
      </c>
      <c r="M8" s="576">
        <f t="shared" si="4"/>
        <v>0</v>
      </c>
      <c r="N8" s="576">
        <f t="shared" si="4"/>
        <v>0</v>
      </c>
      <c r="O8" s="576">
        <f t="shared" si="4"/>
        <v>0</v>
      </c>
      <c r="P8" s="576">
        <f t="shared" si="4"/>
        <v>0</v>
      </c>
      <c r="Q8" s="576">
        <f t="shared" si="4"/>
        <v>0</v>
      </c>
      <c r="R8" s="576">
        <f t="shared" si="4"/>
        <v>0</v>
      </c>
      <c r="S8" s="576">
        <f t="shared" si="4"/>
        <v>0</v>
      </c>
      <c r="T8" s="576">
        <f t="shared" si="4"/>
        <v>0</v>
      </c>
      <c r="U8" s="576">
        <f t="shared" si="4"/>
        <v>0</v>
      </c>
      <c r="V8" s="576">
        <f t="shared" si="4"/>
        <v>0</v>
      </c>
      <c r="W8" s="576">
        <f t="shared" si="4"/>
        <v>0</v>
      </c>
      <c r="X8" s="576">
        <f t="shared" si="4"/>
        <v>0</v>
      </c>
      <c r="Y8" s="576">
        <f t="shared" si="4"/>
        <v>0</v>
      </c>
      <c r="Z8" s="576">
        <f t="shared" si="4"/>
        <v>0</v>
      </c>
      <c r="AA8" s="576">
        <f t="shared" si="4"/>
        <v>0</v>
      </c>
      <c r="AB8" s="576">
        <f t="shared" si="4"/>
        <v>0</v>
      </c>
      <c r="AC8" s="576">
        <f t="shared" si="4"/>
        <v>0</v>
      </c>
      <c r="AD8" s="576">
        <f t="shared" si="4"/>
        <v>0</v>
      </c>
      <c r="AE8" s="576">
        <f t="shared" si="4"/>
        <v>0</v>
      </c>
      <c r="AF8" s="576">
        <f t="shared" si="4"/>
        <v>0</v>
      </c>
      <c r="AG8" s="576">
        <f t="shared" si="4"/>
        <v>0</v>
      </c>
      <c r="AH8" s="576">
        <f t="shared" si="4"/>
        <v>0</v>
      </c>
      <c r="AI8" s="576">
        <f t="shared" si="4"/>
        <v>0</v>
      </c>
      <c r="AJ8" s="576">
        <f t="shared" si="4"/>
        <v>0</v>
      </c>
      <c r="AK8" s="576">
        <f t="shared" si="4"/>
        <v>0</v>
      </c>
      <c r="AL8" s="576">
        <f t="shared" si="4"/>
        <v>0</v>
      </c>
      <c r="AM8" s="576">
        <f t="shared" si="4"/>
        <v>0</v>
      </c>
      <c r="AN8" s="576">
        <f t="shared" si="4"/>
        <v>0</v>
      </c>
      <c r="AO8" s="576">
        <f t="shared" si="4"/>
        <v>0</v>
      </c>
      <c r="AP8" s="576">
        <f t="shared" si="4"/>
        <v>0</v>
      </c>
      <c r="AQ8" s="576">
        <f t="shared" ref="AQ8:BH8" si="5">-AQ38</f>
        <v>0</v>
      </c>
      <c r="AR8" s="576">
        <f t="shared" si="5"/>
        <v>0</v>
      </c>
      <c r="AS8" s="576">
        <f t="shared" si="5"/>
        <v>0</v>
      </c>
      <c r="AT8" s="576">
        <f t="shared" si="5"/>
        <v>0</v>
      </c>
      <c r="AU8" s="576">
        <f t="shared" si="5"/>
        <v>0</v>
      </c>
      <c r="AV8" s="576">
        <f t="shared" si="5"/>
        <v>0</v>
      </c>
      <c r="AW8" s="576">
        <f t="shared" si="5"/>
        <v>0</v>
      </c>
      <c r="AX8" s="576">
        <f t="shared" si="5"/>
        <v>0</v>
      </c>
      <c r="AY8" s="576">
        <f t="shared" si="5"/>
        <v>0</v>
      </c>
      <c r="AZ8" s="576">
        <f t="shared" si="5"/>
        <v>0</v>
      </c>
      <c r="BA8" s="576">
        <f t="shared" si="5"/>
        <v>0</v>
      </c>
      <c r="BB8" s="576">
        <f t="shared" si="5"/>
        <v>0</v>
      </c>
      <c r="BC8" s="576">
        <f t="shared" si="5"/>
        <v>0</v>
      </c>
      <c r="BD8" s="576">
        <f t="shared" si="5"/>
        <v>0</v>
      </c>
      <c r="BE8" s="576">
        <f t="shared" si="5"/>
        <v>0</v>
      </c>
      <c r="BF8" s="576">
        <f t="shared" si="5"/>
        <v>0</v>
      </c>
      <c r="BG8" s="576">
        <f t="shared" si="5"/>
        <v>0</v>
      </c>
      <c r="BH8" s="577">
        <f t="shared" si="5"/>
        <v>0</v>
      </c>
      <c r="BI8" s="562"/>
      <c r="BJ8" s="562"/>
      <c r="BK8" s="562"/>
      <c r="BL8" s="562"/>
      <c r="BM8" s="562"/>
      <c r="BN8" s="562"/>
      <c r="BO8" s="562"/>
      <c r="BP8" s="562"/>
      <c r="BQ8" s="562"/>
      <c r="BR8" s="562"/>
      <c r="BS8" s="562"/>
      <c r="BT8" s="562"/>
      <c r="BU8" s="562"/>
      <c r="BV8" s="56"/>
      <c r="BW8" s="56"/>
      <c r="BX8" s="56"/>
      <c r="BY8" s="56"/>
      <c r="BZ8" s="56"/>
      <c r="CA8" s="56"/>
      <c r="CB8" s="56"/>
      <c r="CC8" s="56"/>
      <c r="CD8" s="56"/>
      <c r="CE8" s="56"/>
    </row>
    <row r="9" spans="1:83" x14ac:dyDescent="0.25">
      <c r="A9" s="140" t="s">
        <v>270</v>
      </c>
      <c r="B9" s="142"/>
      <c r="C9" s="150"/>
      <c r="D9" s="141"/>
      <c r="E9" s="151"/>
      <c r="I9" s="573" t="s">
        <v>29</v>
      </c>
      <c r="J9" s="576"/>
      <c r="K9" s="576">
        <f t="shared" ref="K9:AP9" si="6">K19</f>
        <v>0</v>
      </c>
      <c r="L9" s="576">
        <f t="shared" si="6"/>
        <v>0</v>
      </c>
      <c r="M9" s="576">
        <f t="shared" si="6"/>
        <v>0</v>
      </c>
      <c r="N9" s="576">
        <f t="shared" si="6"/>
        <v>0</v>
      </c>
      <c r="O9" s="576">
        <f t="shared" si="6"/>
        <v>0</v>
      </c>
      <c r="P9" s="576">
        <f t="shared" si="6"/>
        <v>0</v>
      </c>
      <c r="Q9" s="576">
        <f t="shared" si="6"/>
        <v>0</v>
      </c>
      <c r="R9" s="576">
        <f t="shared" si="6"/>
        <v>0</v>
      </c>
      <c r="S9" s="576">
        <f t="shared" si="6"/>
        <v>0</v>
      </c>
      <c r="T9" s="576">
        <f t="shared" si="6"/>
        <v>0</v>
      </c>
      <c r="U9" s="576">
        <f t="shared" si="6"/>
        <v>0</v>
      </c>
      <c r="V9" s="576">
        <f t="shared" si="6"/>
        <v>0</v>
      </c>
      <c r="W9" s="576">
        <f t="shared" si="6"/>
        <v>0</v>
      </c>
      <c r="X9" s="576">
        <f t="shared" si="6"/>
        <v>0</v>
      </c>
      <c r="Y9" s="576">
        <f t="shared" si="6"/>
        <v>0</v>
      </c>
      <c r="Z9" s="576">
        <f t="shared" si="6"/>
        <v>0</v>
      </c>
      <c r="AA9" s="576">
        <f t="shared" si="6"/>
        <v>0</v>
      </c>
      <c r="AB9" s="576">
        <f t="shared" si="6"/>
        <v>0</v>
      </c>
      <c r="AC9" s="576">
        <f t="shared" si="6"/>
        <v>0</v>
      </c>
      <c r="AD9" s="576">
        <f t="shared" si="6"/>
        <v>0</v>
      </c>
      <c r="AE9" s="576">
        <f t="shared" si="6"/>
        <v>0</v>
      </c>
      <c r="AF9" s="576">
        <f t="shared" si="6"/>
        <v>0</v>
      </c>
      <c r="AG9" s="576">
        <f t="shared" si="6"/>
        <v>0</v>
      </c>
      <c r="AH9" s="576">
        <f t="shared" si="6"/>
        <v>0</v>
      </c>
      <c r="AI9" s="576">
        <f t="shared" si="6"/>
        <v>0</v>
      </c>
      <c r="AJ9" s="576">
        <f t="shared" si="6"/>
        <v>0</v>
      </c>
      <c r="AK9" s="576">
        <f t="shared" si="6"/>
        <v>0</v>
      </c>
      <c r="AL9" s="576">
        <f t="shared" si="6"/>
        <v>0</v>
      </c>
      <c r="AM9" s="576">
        <f t="shared" si="6"/>
        <v>0</v>
      </c>
      <c r="AN9" s="576">
        <f t="shared" si="6"/>
        <v>0</v>
      </c>
      <c r="AO9" s="576">
        <f t="shared" si="6"/>
        <v>0</v>
      </c>
      <c r="AP9" s="576">
        <f t="shared" si="6"/>
        <v>0</v>
      </c>
      <c r="AQ9" s="576">
        <f t="shared" ref="AQ9:BH9" si="7">AQ19</f>
        <v>0</v>
      </c>
      <c r="AR9" s="576">
        <f t="shared" si="7"/>
        <v>0</v>
      </c>
      <c r="AS9" s="576">
        <f t="shared" si="7"/>
        <v>0</v>
      </c>
      <c r="AT9" s="576">
        <f t="shared" si="7"/>
        <v>0</v>
      </c>
      <c r="AU9" s="576">
        <f t="shared" si="7"/>
        <v>0</v>
      </c>
      <c r="AV9" s="576">
        <f t="shared" si="7"/>
        <v>0</v>
      </c>
      <c r="AW9" s="576">
        <f t="shared" si="7"/>
        <v>0</v>
      </c>
      <c r="AX9" s="576">
        <f t="shared" si="7"/>
        <v>0</v>
      </c>
      <c r="AY9" s="576">
        <f t="shared" si="7"/>
        <v>0</v>
      </c>
      <c r="AZ9" s="576">
        <f t="shared" si="7"/>
        <v>0</v>
      </c>
      <c r="BA9" s="576">
        <f t="shared" si="7"/>
        <v>0</v>
      </c>
      <c r="BB9" s="576">
        <f t="shared" si="7"/>
        <v>0</v>
      </c>
      <c r="BC9" s="576">
        <f t="shared" si="7"/>
        <v>0</v>
      </c>
      <c r="BD9" s="576">
        <f t="shared" si="7"/>
        <v>0</v>
      </c>
      <c r="BE9" s="576">
        <f t="shared" si="7"/>
        <v>0</v>
      </c>
      <c r="BF9" s="576">
        <f t="shared" si="7"/>
        <v>0</v>
      </c>
      <c r="BG9" s="576">
        <f t="shared" si="7"/>
        <v>0</v>
      </c>
      <c r="BH9" s="577">
        <f t="shared" si="7"/>
        <v>0</v>
      </c>
      <c r="BI9" s="562"/>
      <c r="BJ9" s="562"/>
      <c r="BK9" s="562"/>
      <c r="BL9" s="562"/>
      <c r="BM9" s="562"/>
      <c r="BN9" s="562"/>
      <c r="BO9" s="562"/>
      <c r="BP9" s="562"/>
      <c r="BQ9" s="562"/>
      <c r="BR9" s="562"/>
      <c r="BS9" s="562"/>
      <c r="BT9" s="562"/>
      <c r="BU9" s="562"/>
      <c r="BV9" s="56"/>
      <c r="BW9" s="56"/>
      <c r="BX9" s="56"/>
      <c r="BY9" s="56"/>
      <c r="BZ9" s="56"/>
      <c r="CA9" s="56"/>
      <c r="CB9" s="56"/>
      <c r="CC9" s="56"/>
      <c r="CD9" s="56"/>
      <c r="CE9" s="56"/>
    </row>
    <row r="10" spans="1:83" x14ac:dyDescent="0.25">
      <c r="A10" s="152" t="s">
        <v>82</v>
      </c>
      <c r="B10" s="584" t="e">
        <f>IF(B7="n/a","n/a",INDEX($C$19:$C$117,MATCH($B$7,$B$19:$B$117,1))/100)</f>
        <v>#N/A</v>
      </c>
      <c r="C10" s="135"/>
      <c r="D10" s="136"/>
      <c r="E10" s="147"/>
      <c r="I10" s="574" t="s">
        <v>90</v>
      </c>
      <c r="J10" s="578"/>
      <c r="K10" s="578">
        <f>INDEX('Loan Rates'!K6:K9,MATCH($B$8,'Loan Rates'!$I$6:$I$9,0))</f>
        <v>0</v>
      </c>
      <c r="L10" s="578">
        <f>INDEX('Loan Rates'!L6:L9,MATCH($B$8,'Loan Rates'!$I$6:$I$9,0))</f>
        <v>0</v>
      </c>
      <c r="M10" s="578">
        <f>INDEX('Loan Rates'!M6:M9,MATCH($B$8,'Loan Rates'!$I$6:$I$9,0))</f>
        <v>0</v>
      </c>
      <c r="N10" s="578">
        <f>INDEX('Loan Rates'!N6:N9,MATCH($B$8,'Loan Rates'!$I$6:$I$9,0))</f>
        <v>0</v>
      </c>
      <c r="O10" s="578">
        <f>INDEX('Loan Rates'!O6:O9,MATCH($B$8,'Loan Rates'!$I$6:$I$9,0))</f>
        <v>0</v>
      </c>
      <c r="P10" s="578">
        <f>INDEX('Loan Rates'!P6:P9,MATCH($B$8,'Loan Rates'!$I$6:$I$9,0))</f>
        <v>0</v>
      </c>
      <c r="Q10" s="578">
        <f>INDEX('Loan Rates'!Q6:Q9,MATCH($B$8,'Loan Rates'!$I$6:$I$9,0))</f>
        <v>0</v>
      </c>
      <c r="R10" s="578">
        <f>INDEX('Loan Rates'!R6:R9,MATCH($B$8,'Loan Rates'!$I$6:$I$9,0))</f>
        <v>0</v>
      </c>
      <c r="S10" s="578">
        <f>INDEX('Loan Rates'!S6:S9,MATCH($B$8,'Loan Rates'!$I$6:$I$9,0))</f>
        <v>0</v>
      </c>
      <c r="T10" s="578">
        <f>INDEX('Loan Rates'!T6:T9,MATCH($B$8,'Loan Rates'!$I$6:$I$9,0))</f>
        <v>0</v>
      </c>
      <c r="U10" s="578">
        <f>INDEX('Loan Rates'!U6:U9,MATCH($B$8,'Loan Rates'!$I$6:$I$9,0))</f>
        <v>0</v>
      </c>
      <c r="V10" s="578">
        <f>INDEX('Loan Rates'!V6:V9,MATCH($B$8,'Loan Rates'!$I$6:$I$9,0))</f>
        <v>0</v>
      </c>
      <c r="W10" s="578">
        <f>INDEX('Loan Rates'!W6:W9,MATCH($B$8,'Loan Rates'!$I$6:$I$9,0))</f>
        <v>0</v>
      </c>
      <c r="X10" s="578">
        <f>INDEX('Loan Rates'!X6:X9,MATCH($B$8,'Loan Rates'!$I$6:$I$9,0))</f>
        <v>0</v>
      </c>
      <c r="Y10" s="578">
        <f>INDEX('Loan Rates'!Y6:Y9,MATCH($B$8,'Loan Rates'!$I$6:$I$9,0))</f>
        <v>0</v>
      </c>
      <c r="Z10" s="578">
        <f>INDEX('Loan Rates'!Z6:Z9,MATCH($B$8,'Loan Rates'!$I$6:$I$9,0))</f>
        <v>0</v>
      </c>
      <c r="AA10" s="578">
        <f>INDEX('Loan Rates'!AA6:AA9,MATCH($B$8,'Loan Rates'!$I$6:$I$9,0))</f>
        <v>0</v>
      </c>
      <c r="AB10" s="578">
        <f>INDEX('Loan Rates'!AB6:AB9,MATCH($B$8,'Loan Rates'!$I$6:$I$9,0))</f>
        <v>0</v>
      </c>
      <c r="AC10" s="578">
        <f>INDEX('Loan Rates'!AC6:AC9,MATCH($B$8,'Loan Rates'!$I$6:$I$9,0))</f>
        <v>0</v>
      </c>
      <c r="AD10" s="578">
        <f>INDEX('Loan Rates'!AD6:AD9,MATCH($B$8,'Loan Rates'!$I$6:$I$9,0))</f>
        <v>0</v>
      </c>
      <c r="AE10" s="578">
        <f>INDEX('Loan Rates'!AE6:AE9,MATCH($B$8,'Loan Rates'!$I$6:$I$9,0))</f>
        <v>0</v>
      </c>
      <c r="AF10" s="578">
        <f>INDEX('Loan Rates'!AF6:AF9,MATCH($B$8,'Loan Rates'!$I$6:$I$9,0))</f>
        <v>0</v>
      </c>
      <c r="AG10" s="578">
        <f>INDEX('Loan Rates'!AG6:AG9,MATCH($B$8,'Loan Rates'!$I$6:$I$9,0))</f>
        <v>0</v>
      </c>
      <c r="AH10" s="578">
        <f>INDEX('Loan Rates'!AH6:AH9,MATCH($B$8,'Loan Rates'!$I$6:$I$9,0))</f>
        <v>0</v>
      </c>
      <c r="AI10" s="578">
        <f>INDEX('Loan Rates'!AI6:AI9,MATCH($B$8,'Loan Rates'!$I$6:$I$9,0))</f>
        <v>0</v>
      </c>
      <c r="AJ10" s="578">
        <f>INDEX('Loan Rates'!AJ6:AJ9,MATCH($B$8,'Loan Rates'!$I$6:$I$9,0))</f>
        <v>0</v>
      </c>
      <c r="AK10" s="578">
        <f>INDEX('Loan Rates'!AK6:AK9,MATCH($B$8,'Loan Rates'!$I$6:$I$9,0))</f>
        <v>0</v>
      </c>
      <c r="AL10" s="578">
        <f>INDEX('Loan Rates'!AL6:AL9,MATCH($B$8,'Loan Rates'!$I$6:$I$9,0))</f>
        <v>0</v>
      </c>
      <c r="AM10" s="578">
        <f>INDEX('Loan Rates'!AM6:AM9,MATCH($B$8,'Loan Rates'!$I$6:$I$9,0))</f>
        <v>0</v>
      </c>
      <c r="AN10" s="578">
        <f>INDEX('Loan Rates'!AN6:AN9,MATCH($B$8,'Loan Rates'!$I$6:$I$9,0))</f>
        <v>0</v>
      </c>
      <c r="AO10" s="578">
        <f>INDEX('Loan Rates'!AO6:AO9,MATCH($B$8,'Loan Rates'!$I$6:$I$9,0))</f>
        <v>0</v>
      </c>
      <c r="AP10" s="578">
        <f>INDEX('Loan Rates'!AP6:AP9,MATCH($B$8,'Loan Rates'!$I$6:$I$9,0))</f>
        <v>0</v>
      </c>
      <c r="AQ10" s="578">
        <f>INDEX('Loan Rates'!AQ6:AQ9,MATCH($B$8,'Loan Rates'!$I$6:$I$9,0))</f>
        <v>0</v>
      </c>
      <c r="AR10" s="578">
        <f>INDEX('Loan Rates'!AR6:AR9,MATCH($B$8,'Loan Rates'!$I$6:$I$9,0))</f>
        <v>0</v>
      </c>
      <c r="AS10" s="578">
        <f>INDEX('Loan Rates'!AS6:AS9,MATCH($B$8,'Loan Rates'!$I$6:$I$9,0))</f>
        <v>0</v>
      </c>
      <c r="AT10" s="578">
        <f>INDEX('Loan Rates'!AT6:AT9,MATCH($B$8,'Loan Rates'!$I$6:$I$9,0))</f>
        <v>0</v>
      </c>
      <c r="AU10" s="578">
        <f>INDEX('Loan Rates'!AU6:AU9,MATCH($B$8,'Loan Rates'!$I$6:$I$9,0))</f>
        <v>0</v>
      </c>
      <c r="AV10" s="578">
        <f>INDEX('Loan Rates'!AV6:AV9,MATCH($B$8,'Loan Rates'!$I$6:$I$9,0))</f>
        <v>0</v>
      </c>
      <c r="AW10" s="578">
        <f>INDEX('Loan Rates'!AW6:AW9,MATCH($B$8,'Loan Rates'!$I$6:$I$9,0))</f>
        <v>0</v>
      </c>
      <c r="AX10" s="578">
        <f>INDEX('Loan Rates'!AX6:AX9,MATCH($B$8,'Loan Rates'!$I$6:$I$9,0))</f>
        <v>0</v>
      </c>
      <c r="AY10" s="578">
        <f>INDEX('Loan Rates'!AY6:AY9,MATCH($B$8,'Loan Rates'!$I$6:$I$9,0))</f>
        <v>0</v>
      </c>
      <c r="AZ10" s="578">
        <f>INDEX('Loan Rates'!AZ6:AZ9,MATCH($B$8,'Loan Rates'!$I$6:$I$9,0))</f>
        <v>0</v>
      </c>
      <c r="BA10" s="578">
        <f>INDEX('Loan Rates'!BA6:BA9,MATCH($B$8,'Loan Rates'!$I$6:$I$9,0))</f>
        <v>0</v>
      </c>
      <c r="BB10" s="578">
        <f>INDEX('Loan Rates'!BB6:BB9,MATCH($B$8,'Loan Rates'!$I$6:$I$9,0))</f>
        <v>0</v>
      </c>
      <c r="BC10" s="578">
        <f>INDEX('Loan Rates'!BC6:BC9,MATCH($B$8,'Loan Rates'!$I$6:$I$9,0))</f>
        <v>0</v>
      </c>
      <c r="BD10" s="578">
        <f>INDEX('Loan Rates'!BD6:BD9,MATCH($B$8,'Loan Rates'!$I$6:$I$9,0))</f>
        <v>0</v>
      </c>
      <c r="BE10" s="578">
        <f>INDEX('Loan Rates'!BE6:BE9,MATCH($B$8,'Loan Rates'!$I$6:$I$9,0))</f>
        <v>0</v>
      </c>
      <c r="BF10" s="578">
        <f>INDEX('Loan Rates'!BF6:BF9,MATCH($B$8,'Loan Rates'!$I$6:$I$9,0))</f>
        <v>0</v>
      </c>
      <c r="BG10" s="578">
        <f>INDEX('Loan Rates'!BG6:BG9,MATCH($B$8,'Loan Rates'!$I$6:$I$9,0))</f>
        <v>0</v>
      </c>
      <c r="BH10" s="578">
        <f>INDEX('Loan Rates'!BH6:BH9,MATCH($B$8,'Loan Rates'!$I$6:$I$9,0))</f>
        <v>0</v>
      </c>
      <c r="BI10" s="563"/>
      <c r="BJ10" s="563"/>
      <c r="BK10" s="563"/>
      <c r="BL10" s="563"/>
      <c r="BM10" s="563"/>
      <c r="BN10" s="563"/>
      <c r="BO10" s="563"/>
      <c r="BP10" s="563"/>
      <c r="BQ10" s="563"/>
      <c r="BR10" s="563"/>
      <c r="BS10" s="562"/>
      <c r="BT10" s="562"/>
      <c r="BU10" s="562"/>
      <c r="BV10" s="56"/>
      <c r="BW10" s="56"/>
      <c r="BX10" s="56"/>
      <c r="BY10" s="56"/>
      <c r="BZ10" s="56"/>
      <c r="CA10" s="56"/>
      <c r="CB10" s="56"/>
      <c r="CC10" s="56"/>
      <c r="CD10" s="56"/>
      <c r="CE10" s="56"/>
    </row>
    <row r="11" spans="1:83" x14ac:dyDescent="0.25">
      <c r="A11" s="152" t="s">
        <v>84</v>
      </c>
      <c r="B11" s="585" t="e">
        <f>IF(B7="n/a","n/a",INDEX($D$19:$D$117,MATCH($B$7,$B$19:$B$117,1))/100)</f>
        <v>#N/A</v>
      </c>
      <c r="C11" s="135"/>
      <c r="D11" s="136"/>
      <c r="E11" s="147"/>
      <c r="BI11" s="562"/>
      <c r="BJ11" s="562"/>
      <c r="BK11" s="562"/>
      <c r="BL11" s="562"/>
      <c r="BM11" s="562"/>
      <c r="BN11" s="562"/>
      <c r="BO11" s="562"/>
      <c r="BP11" s="562"/>
      <c r="BQ11" s="562"/>
      <c r="BR11" s="562"/>
      <c r="BS11" s="562"/>
      <c r="BT11" s="562"/>
      <c r="BU11" s="562"/>
      <c r="BV11" s="56"/>
      <c r="BW11" s="56"/>
      <c r="BX11" s="56"/>
      <c r="BY11" s="56"/>
      <c r="BZ11" s="56"/>
      <c r="CA11" s="56"/>
      <c r="CB11" s="56"/>
      <c r="CC11" s="56"/>
      <c r="CD11" s="56"/>
      <c r="CE11" s="56"/>
    </row>
    <row r="12" spans="1:83" x14ac:dyDescent="0.25">
      <c r="A12" s="152" t="s">
        <v>86</v>
      </c>
      <c r="B12" s="585" t="e">
        <f>IF(B7="n/a","n/a",INDEX($E$19:$E$117,MATCH($B$7,$B$19:$B$117,1))/100)</f>
        <v>#N/A</v>
      </c>
      <c r="C12" s="135"/>
      <c r="D12" s="136"/>
      <c r="E12" s="147"/>
      <c r="BI12" s="56"/>
      <c r="BJ12" s="56"/>
      <c r="BK12" s="56"/>
      <c r="BL12" s="56"/>
      <c r="BM12" s="56"/>
      <c r="BN12" s="56"/>
      <c r="BO12" s="56"/>
      <c r="BP12" s="56"/>
      <c r="BQ12" s="56"/>
      <c r="BR12" s="56"/>
      <c r="BS12" s="56"/>
      <c r="BT12" s="56"/>
      <c r="BU12" s="56"/>
      <c r="BV12" s="56"/>
      <c r="BW12" s="56"/>
      <c r="BX12" s="56"/>
      <c r="BY12" s="56"/>
      <c r="BZ12" s="56"/>
      <c r="CA12" s="56"/>
      <c r="CB12" s="56"/>
      <c r="CC12" s="56"/>
      <c r="CD12" s="56"/>
      <c r="CE12" s="56"/>
    </row>
    <row r="13" spans="1:83" ht="14.4" x14ac:dyDescent="0.3">
      <c r="A13" s="152" t="s">
        <v>29</v>
      </c>
      <c r="B13" s="586">
        <f>'Global assumptions'!D18</f>
        <v>0.04</v>
      </c>
      <c r="C13" s="143" t="s">
        <v>271</v>
      </c>
      <c r="D13" s="136"/>
      <c r="E13" s="147"/>
      <c r="H13" s="549" t="s">
        <v>422</v>
      </c>
      <c r="I13" s="560" t="s">
        <v>33</v>
      </c>
      <c r="J13" s="561">
        <v>0</v>
      </c>
      <c r="K13" s="561">
        <v>1</v>
      </c>
      <c r="L13" s="561">
        <v>2</v>
      </c>
      <c r="M13" s="561">
        <v>3</v>
      </c>
      <c r="N13" s="561">
        <v>4</v>
      </c>
      <c r="O13" s="561">
        <v>5</v>
      </c>
      <c r="P13" s="561">
        <v>6</v>
      </c>
      <c r="Q13" s="561">
        <v>7</v>
      </c>
      <c r="R13" s="561">
        <v>8</v>
      </c>
      <c r="S13" s="561">
        <v>9</v>
      </c>
      <c r="T13" s="561">
        <v>10</v>
      </c>
      <c r="U13" s="561">
        <v>11</v>
      </c>
      <c r="V13" s="561">
        <v>12</v>
      </c>
      <c r="W13" s="561">
        <v>13</v>
      </c>
      <c r="X13" s="561">
        <v>14</v>
      </c>
      <c r="Y13" s="561">
        <v>15</v>
      </c>
      <c r="Z13" s="561">
        <v>16</v>
      </c>
      <c r="AA13" s="561">
        <v>17</v>
      </c>
      <c r="AB13" s="561">
        <v>18</v>
      </c>
      <c r="AC13" s="561">
        <v>19</v>
      </c>
      <c r="AD13" s="561">
        <v>20</v>
      </c>
      <c r="AE13" s="561">
        <v>21</v>
      </c>
      <c r="AF13" s="561">
        <v>22</v>
      </c>
      <c r="AG13" s="561">
        <v>23</v>
      </c>
      <c r="AH13" s="561">
        <v>24</v>
      </c>
      <c r="AI13" s="561">
        <v>25</v>
      </c>
      <c r="AJ13" s="561">
        <v>26</v>
      </c>
      <c r="AK13" s="561">
        <v>27</v>
      </c>
      <c r="AL13" s="561">
        <v>28</v>
      </c>
      <c r="AM13" s="561">
        <v>29</v>
      </c>
      <c r="AN13" s="561">
        <v>30</v>
      </c>
      <c r="AO13" s="561">
        <v>31</v>
      </c>
      <c r="AP13" s="561">
        <v>32</v>
      </c>
      <c r="AQ13" s="561">
        <v>33</v>
      </c>
      <c r="AR13" s="561">
        <v>34</v>
      </c>
      <c r="AS13" s="561">
        <v>35</v>
      </c>
      <c r="AT13" s="561">
        <v>36</v>
      </c>
      <c r="AU13" s="561">
        <v>37</v>
      </c>
      <c r="AV13" s="561">
        <v>38</v>
      </c>
      <c r="AW13" s="561">
        <v>39</v>
      </c>
      <c r="AX13" s="561">
        <v>40</v>
      </c>
      <c r="AY13" s="561">
        <v>41</v>
      </c>
      <c r="AZ13" s="561">
        <v>42</v>
      </c>
      <c r="BA13" s="561">
        <v>43</v>
      </c>
      <c r="BB13" s="561">
        <v>44</v>
      </c>
      <c r="BC13" s="561">
        <v>45</v>
      </c>
      <c r="BD13" s="561">
        <v>46</v>
      </c>
      <c r="BE13" s="561">
        <v>47</v>
      </c>
      <c r="BF13" s="561">
        <v>48</v>
      </c>
      <c r="BG13" s="561">
        <v>49</v>
      </c>
      <c r="BH13" s="561">
        <v>50</v>
      </c>
      <c r="BI13" s="5"/>
      <c r="BJ13" s="5"/>
      <c r="BK13" s="5"/>
      <c r="BL13" s="5"/>
      <c r="BM13" s="5"/>
      <c r="BN13" s="5"/>
      <c r="BO13" s="5"/>
      <c r="BP13" s="5"/>
      <c r="BQ13" s="5"/>
      <c r="BR13" s="5"/>
      <c r="BS13" s="5"/>
      <c r="BT13" s="5"/>
      <c r="BU13" s="5"/>
      <c r="BV13" s="5"/>
      <c r="BW13" s="5"/>
      <c r="BX13" s="5"/>
      <c r="BY13" s="5"/>
      <c r="BZ13" s="5"/>
      <c r="CA13" s="5"/>
      <c r="CB13" s="5"/>
      <c r="CC13" s="5"/>
      <c r="CD13" s="5"/>
      <c r="CE13" s="5"/>
    </row>
    <row r="14" spans="1:83" x14ac:dyDescent="0.25">
      <c r="A14" s="163" t="s">
        <v>272</v>
      </c>
      <c r="B14" s="587">
        <f>INDEX(B10:B13,MATCH(B8,'Loan Rates'!A10:A13,0))</f>
        <v>0.04</v>
      </c>
      <c r="C14" s="139" t="str">
        <f>"("&amp;INDEX(A10:A13,MATCH(B14,B10:B13,0))&amp;")"</f>
        <v>(Standard APR)</v>
      </c>
      <c r="D14" s="148"/>
      <c r="E14" s="149"/>
      <c r="H14" s="565" t="s">
        <v>29</v>
      </c>
      <c r="BI14" s="5"/>
      <c r="BJ14" s="5"/>
      <c r="BK14" s="5"/>
      <c r="BL14" s="5"/>
      <c r="BM14" s="5"/>
      <c r="BN14" s="5"/>
      <c r="BO14" s="5"/>
      <c r="BP14" s="5"/>
      <c r="BQ14" s="5"/>
      <c r="BR14" s="5"/>
      <c r="BS14" s="5"/>
      <c r="BT14" s="5"/>
      <c r="BU14" s="5"/>
      <c r="BV14" s="5"/>
      <c r="BW14" s="5"/>
      <c r="BX14" s="5"/>
      <c r="BY14" s="5"/>
      <c r="BZ14" s="5"/>
      <c r="CA14" s="5"/>
      <c r="CB14" s="5"/>
      <c r="CC14" s="5"/>
      <c r="CD14" s="5"/>
      <c r="CE14" s="5"/>
    </row>
    <row r="15" spans="1:83" x14ac:dyDescent="0.25">
      <c r="H15" s="561" t="s">
        <v>187</v>
      </c>
      <c r="I15" s="566" t="e">
        <f>PMT('Loan Rates'!B13,'Loan Rates'!B7,'Loan Rates'!B6)*'Loan Rates'!B7</f>
        <v>#NUM!</v>
      </c>
      <c r="J15" s="561"/>
      <c r="K15" s="561"/>
      <c r="L15" s="561"/>
      <c r="M15" s="561"/>
      <c r="N15" s="561"/>
      <c r="O15" s="561"/>
      <c r="P15" s="561"/>
      <c r="Q15" s="561"/>
      <c r="R15" s="561"/>
      <c r="S15" s="561"/>
      <c r="T15" s="561"/>
      <c r="U15" s="561"/>
      <c r="V15" s="561"/>
      <c r="W15" s="561"/>
      <c r="X15" s="561"/>
      <c r="Y15" s="561"/>
      <c r="Z15" s="561"/>
      <c r="AA15" s="561"/>
      <c r="AB15" s="561"/>
      <c r="AC15" s="561"/>
      <c r="AD15" s="561"/>
      <c r="AE15" s="561"/>
      <c r="AF15" s="561"/>
      <c r="AG15" s="561"/>
      <c r="AH15" s="561"/>
      <c r="AI15" s="561"/>
      <c r="AJ15" s="561"/>
      <c r="AK15" s="561"/>
      <c r="AL15" s="561"/>
      <c r="AM15" s="561"/>
      <c r="AN15" s="561"/>
      <c r="AO15" s="561"/>
      <c r="AP15" s="561"/>
      <c r="AQ15" s="561"/>
      <c r="AR15" s="561"/>
      <c r="AS15" s="561"/>
      <c r="AT15" s="561"/>
      <c r="AU15" s="561"/>
      <c r="AV15" s="561"/>
      <c r="AW15" s="561"/>
      <c r="AX15" s="561"/>
      <c r="AY15" s="561"/>
      <c r="AZ15" s="561"/>
      <c r="BA15" s="561"/>
      <c r="BB15" s="561"/>
      <c r="BC15" s="561"/>
      <c r="BD15" s="561"/>
      <c r="BE15" s="561"/>
      <c r="BF15" s="561"/>
      <c r="BG15" s="561"/>
      <c r="BH15" s="561"/>
      <c r="BI15" s="5"/>
      <c r="BJ15" s="5"/>
      <c r="BK15" s="5"/>
      <c r="BL15" s="5"/>
      <c r="BM15" s="5"/>
      <c r="BN15" s="5"/>
      <c r="BO15" s="5"/>
      <c r="BP15" s="5"/>
      <c r="BQ15" s="5"/>
      <c r="BR15" s="5"/>
      <c r="BS15" s="5"/>
      <c r="BT15" s="5"/>
      <c r="BU15" s="5"/>
      <c r="BV15" s="5"/>
      <c r="BW15" s="5"/>
      <c r="BX15" s="5"/>
      <c r="BY15" s="5"/>
      <c r="BZ15" s="5"/>
      <c r="CA15" s="5"/>
      <c r="CB15" s="5"/>
      <c r="CC15" s="5"/>
      <c r="CD15" s="5"/>
      <c r="CE15" s="5"/>
    </row>
    <row r="16" spans="1:83" x14ac:dyDescent="0.25">
      <c r="A16" s="769" t="s">
        <v>80</v>
      </c>
      <c r="B16" s="769"/>
      <c r="C16" s="765" t="s">
        <v>78</v>
      </c>
      <c r="D16" s="765"/>
      <c r="E16" s="765"/>
      <c r="H16" s="561" t="s">
        <v>185</v>
      </c>
      <c r="I16" s="561"/>
      <c r="J16" s="561"/>
      <c r="K16" s="567">
        <f>'Costs (by site)'!$C$24</f>
        <v>0</v>
      </c>
      <c r="L16" s="567">
        <f t="shared" ref="L16:AQ16" si="8">IFERROR(K20,0)</f>
        <v>0</v>
      </c>
      <c r="M16" s="567">
        <f t="shared" si="8"/>
        <v>0</v>
      </c>
      <c r="N16" s="567">
        <f t="shared" si="8"/>
        <v>0</v>
      </c>
      <c r="O16" s="567">
        <f t="shared" si="8"/>
        <v>0</v>
      </c>
      <c r="P16" s="567">
        <f t="shared" si="8"/>
        <v>0</v>
      </c>
      <c r="Q16" s="567">
        <f t="shared" si="8"/>
        <v>0</v>
      </c>
      <c r="R16" s="567">
        <f t="shared" si="8"/>
        <v>0</v>
      </c>
      <c r="S16" s="567">
        <f t="shared" si="8"/>
        <v>0</v>
      </c>
      <c r="T16" s="567">
        <f t="shared" si="8"/>
        <v>0</v>
      </c>
      <c r="U16" s="567">
        <f t="shared" si="8"/>
        <v>0</v>
      </c>
      <c r="V16" s="567">
        <f t="shared" si="8"/>
        <v>0</v>
      </c>
      <c r="W16" s="567">
        <f t="shared" si="8"/>
        <v>0</v>
      </c>
      <c r="X16" s="567">
        <f t="shared" si="8"/>
        <v>0</v>
      </c>
      <c r="Y16" s="567">
        <f t="shared" si="8"/>
        <v>0</v>
      </c>
      <c r="Z16" s="567">
        <f t="shared" si="8"/>
        <v>0</v>
      </c>
      <c r="AA16" s="567">
        <f t="shared" si="8"/>
        <v>0</v>
      </c>
      <c r="AB16" s="567">
        <f t="shared" si="8"/>
        <v>0</v>
      </c>
      <c r="AC16" s="567">
        <f t="shared" si="8"/>
        <v>0</v>
      </c>
      <c r="AD16" s="567">
        <f t="shared" si="8"/>
        <v>0</v>
      </c>
      <c r="AE16" s="567">
        <f t="shared" si="8"/>
        <v>0</v>
      </c>
      <c r="AF16" s="567">
        <f t="shared" si="8"/>
        <v>0</v>
      </c>
      <c r="AG16" s="567">
        <f t="shared" si="8"/>
        <v>0</v>
      </c>
      <c r="AH16" s="567">
        <f t="shared" si="8"/>
        <v>0</v>
      </c>
      <c r="AI16" s="567">
        <f t="shared" si="8"/>
        <v>0</v>
      </c>
      <c r="AJ16" s="567">
        <f t="shared" si="8"/>
        <v>0</v>
      </c>
      <c r="AK16" s="567">
        <f t="shared" si="8"/>
        <v>0</v>
      </c>
      <c r="AL16" s="567">
        <f t="shared" si="8"/>
        <v>0</v>
      </c>
      <c r="AM16" s="567">
        <f t="shared" si="8"/>
        <v>0</v>
      </c>
      <c r="AN16" s="567">
        <f t="shared" si="8"/>
        <v>0</v>
      </c>
      <c r="AO16" s="567">
        <f t="shared" si="8"/>
        <v>0</v>
      </c>
      <c r="AP16" s="567">
        <f t="shared" si="8"/>
        <v>0</v>
      </c>
      <c r="AQ16" s="567">
        <f t="shared" si="8"/>
        <v>0</v>
      </c>
      <c r="AR16" s="567">
        <f t="shared" ref="AR16:BH16" si="9">IFERROR(AQ20,0)</f>
        <v>0</v>
      </c>
      <c r="AS16" s="567">
        <f t="shared" si="9"/>
        <v>0</v>
      </c>
      <c r="AT16" s="567">
        <f t="shared" si="9"/>
        <v>0</v>
      </c>
      <c r="AU16" s="567">
        <f t="shared" si="9"/>
        <v>0</v>
      </c>
      <c r="AV16" s="567">
        <f t="shared" si="9"/>
        <v>0</v>
      </c>
      <c r="AW16" s="567">
        <f t="shared" si="9"/>
        <v>0</v>
      </c>
      <c r="AX16" s="567">
        <f t="shared" si="9"/>
        <v>0</v>
      </c>
      <c r="AY16" s="567">
        <f t="shared" si="9"/>
        <v>0</v>
      </c>
      <c r="AZ16" s="567">
        <f t="shared" si="9"/>
        <v>0</v>
      </c>
      <c r="BA16" s="567">
        <f t="shared" si="9"/>
        <v>0</v>
      </c>
      <c r="BB16" s="567">
        <f t="shared" si="9"/>
        <v>0</v>
      </c>
      <c r="BC16" s="567">
        <f t="shared" si="9"/>
        <v>0</v>
      </c>
      <c r="BD16" s="567">
        <f t="shared" si="9"/>
        <v>0</v>
      </c>
      <c r="BE16" s="567">
        <f t="shared" si="9"/>
        <v>0</v>
      </c>
      <c r="BF16" s="567">
        <f t="shared" si="9"/>
        <v>0</v>
      </c>
      <c r="BG16" s="567">
        <f t="shared" si="9"/>
        <v>0</v>
      </c>
      <c r="BH16" s="567">
        <f t="shared" si="9"/>
        <v>0</v>
      </c>
      <c r="BI16" s="5"/>
      <c r="BJ16" s="5"/>
      <c r="BK16" s="5"/>
      <c r="BL16" s="5"/>
      <c r="BM16" s="5"/>
      <c r="BN16" s="5"/>
      <c r="BO16" s="5"/>
      <c r="BP16" s="5"/>
      <c r="BQ16" s="5"/>
      <c r="BR16" s="5"/>
      <c r="BS16" s="5"/>
      <c r="BT16" s="5"/>
      <c r="BU16" s="5"/>
      <c r="BV16" s="5"/>
      <c r="BW16" s="5"/>
      <c r="BX16" s="5"/>
      <c r="BY16" s="5"/>
      <c r="BZ16" s="5"/>
      <c r="CA16" s="5"/>
      <c r="CB16" s="5"/>
      <c r="CC16" s="5"/>
      <c r="CD16" s="5"/>
      <c r="CE16" s="5"/>
    </row>
    <row r="17" spans="1:83" ht="12.75" customHeight="1" x14ac:dyDescent="0.25">
      <c r="A17" s="769"/>
      <c r="B17" s="769"/>
      <c r="C17" s="768" t="s">
        <v>267</v>
      </c>
      <c r="D17" s="768" t="s">
        <v>268</v>
      </c>
      <c r="E17" s="766" t="s">
        <v>269</v>
      </c>
      <c r="H17" s="568" t="s">
        <v>186</v>
      </c>
      <c r="I17" s="568"/>
      <c r="J17" s="568"/>
      <c r="K17" s="569">
        <f>K16*'Loan Rates'!$B$13</f>
        <v>0</v>
      </c>
      <c r="L17" s="569">
        <f>L16*'Loan Rates'!$B$13</f>
        <v>0</v>
      </c>
      <c r="M17" s="569">
        <f>M16*'Loan Rates'!$B$13</f>
        <v>0</v>
      </c>
      <c r="N17" s="569">
        <f>N16*'Loan Rates'!$B$13</f>
        <v>0</v>
      </c>
      <c r="O17" s="569">
        <f>O16*'Loan Rates'!$B$13</f>
        <v>0</v>
      </c>
      <c r="P17" s="569">
        <f>P16*'Loan Rates'!$B$13</f>
        <v>0</v>
      </c>
      <c r="Q17" s="569">
        <f>Q16*'Loan Rates'!$B$13</f>
        <v>0</v>
      </c>
      <c r="R17" s="569">
        <f>R16*'Loan Rates'!$B$13</f>
        <v>0</v>
      </c>
      <c r="S17" s="569">
        <f>S16*'Loan Rates'!$B$13</f>
        <v>0</v>
      </c>
      <c r="T17" s="569">
        <f>T16*'Loan Rates'!$B$13</f>
        <v>0</v>
      </c>
      <c r="U17" s="569">
        <f>U16*'Loan Rates'!$B$13</f>
        <v>0</v>
      </c>
      <c r="V17" s="569">
        <f>V16*'Loan Rates'!$B$13</f>
        <v>0</v>
      </c>
      <c r="W17" s="569">
        <f>W16*'Loan Rates'!$B$13</f>
        <v>0</v>
      </c>
      <c r="X17" s="569">
        <f>X16*'Loan Rates'!$B$13</f>
        <v>0</v>
      </c>
      <c r="Y17" s="569">
        <f>Y16*'Loan Rates'!$B$13</f>
        <v>0</v>
      </c>
      <c r="Z17" s="569">
        <f>Z16*'Loan Rates'!$B$13</f>
        <v>0</v>
      </c>
      <c r="AA17" s="569">
        <f>AA16*'Loan Rates'!$B$13</f>
        <v>0</v>
      </c>
      <c r="AB17" s="569">
        <f>AB16*'Loan Rates'!$B$13</f>
        <v>0</v>
      </c>
      <c r="AC17" s="569">
        <f>AC16*'Loan Rates'!$B$13</f>
        <v>0</v>
      </c>
      <c r="AD17" s="569">
        <f>AD16*'Loan Rates'!$B$13</f>
        <v>0</v>
      </c>
      <c r="AE17" s="569">
        <f>AE16*'Loan Rates'!$B$13</f>
        <v>0</v>
      </c>
      <c r="AF17" s="569">
        <f>AF16*'Loan Rates'!$B$13</f>
        <v>0</v>
      </c>
      <c r="AG17" s="569">
        <f>AG16*'Loan Rates'!$B$13</f>
        <v>0</v>
      </c>
      <c r="AH17" s="569">
        <f>AH16*'Loan Rates'!$B$13</f>
        <v>0</v>
      </c>
      <c r="AI17" s="569">
        <f>AI16*'Loan Rates'!$B$13</f>
        <v>0</v>
      </c>
      <c r="AJ17" s="569">
        <f>AJ16*'Loan Rates'!$B$13</f>
        <v>0</v>
      </c>
      <c r="AK17" s="569">
        <f>AK16*'Loan Rates'!$B$13</f>
        <v>0</v>
      </c>
      <c r="AL17" s="569">
        <f>AL16*'Loan Rates'!$B$13</f>
        <v>0</v>
      </c>
      <c r="AM17" s="569">
        <f>AM16*'Loan Rates'!$B$13</f>
        <v>0</v>
      </c>
      <c r="AN17" s="569">
        <f>AN16*'Loan Rates'!$B$13</f>
        <v>0</v>
      </c>
      <c r="AO17" s="569">
        <f>AO16*'Loan Rates'!$B$13</f>
        <v>0</v>
      </c>
      <c r="AP17" s="569">
        <f>AP16*'Loan Rates'!$B$13</f>
        <v>0</v>
      </c>
      <c r="AQ17" s="569">
        <f>AQ16*'Loan Rates'!$B$13</f>
        <v>0</v>
      </c>
      <c r="AR17" s="569">
        <f>AR16*'Loan Rates'!$B$13</f>
        <v>0</v>
      </c>
      <c r="AS17" s="569">
        <f>AS16*'Loan Rates'!$B$13</f>
        <v>0</v>
      </c>
      <c r="AT17" s="569">
        <f>AT16*'Loan Rates'!$B$13</f>
        <v>0</v>
      </c>
      <c r="AU17" s="569">
        <f>AU16*'Loan Rates'!$B$13</f>
        <v>0</v>
      </c>
      <c r="AV17" s="569">
        <f>AV16*'Loan Rates'!$B$13</f>
        <v>0</v>
      </c>
      <c r="AW17" s="569">
        <f>AW16*'Loan Rates'!$B$13</f>
        <v>0</v>
      </c>
      <c r="AX17" s="569">
        <f>AX16*'Loan Rates'!$B$13</f>
        <v>0</v>
      </c>
      <c r="AY17" s="569">
        <f>AY16*'Loan Rates'!$B$13</f>
        <v>0</v>
      </c>
      <c r="AZ17" s="569">
        <f>AZ16*'Loan Rates'!$B$13</f>
        <v>0</v>
      </c>
      <c r="BA17" s="569">
        <f>BA16*'Loan Rates'!$B$13</f>
        <v>0</v>
      </c>
      <c r="BB17" s="569">
        <f>BB16*'Loan Rates'!$B$13</f>
        <v>0</v>
      </c>
      <c r="BC17" s="569">
        <f>BC16*'Loan Rates'!$B$13</f>
        <v>0</v>
      </c>
      <c r="BD17" s="569">
        <f>BD16*'Loan Rates'!$B$13</f>
        <v>0</v>
      </c>
      <c r="BE17" s="569">
        <f>BE16*'Loan Rates'!$B$13</f>
        <v>0</v>
      </c>
      <c r="BF17" s="569">
        <f>BF16*'Loan Rates'!$B$13</f>
        <v>0</v>
      </c>
      <c r="BG17" s="569">
        <f>BG16*'Loan Rates'!$B$13</f>
        <v>0</v>
      </c>
      <c r="BH17" s="569">
        <f>BH16*'Loan Rates'!$B$13</f>
        <v>0</v>
      </c>
      <c r="BI17" s="5"/>
      <c r="BJ17" s="5"/>
      <c r="BK17" s="5"/>
      <c r="BL17" s="5"/>
      <c r="BM17" s="5"/>
      <c r="BN17" s="5"/>
      <c r="BO17" s="5"/>
      <c r="BP17" s="5"/>
      <c r="BQ17" s="5"/>
      <c r="BR17" s="5"/>
      <c r="BS17" s="5"/>
      <c r="BT17" s="5"/>
      <c r="BU17" s="5"/>
      <c r="BV17" s="5"/>
      <c r="BW17" s="5"/>
      <c r="BX17" s="5"/>
      <c r="BY17" s="5"/>
      <c r="BZ17" s="5"/>
      <c r="CA17" s="5"/>
      <c r="CB17" s="5"/>
      <c r="CC17" s="5"/>
      <c r="CD17" s="5"/>
      <c r="CE17" s="5"/>
    </row>
    <row r="18" spans="1:83" ht="11.25" customHeight="1" x14ac:dyDescent="0.25">
      <c r="A18" s="770"/>
      <c r="B18" s="770"/>
      <c r="C18" s="766"/>
      <c r="D18" s="766"/>
      <c r="E18" s="767"/>
      <c r="H18" s="561"/>
      <c r="I18" s="561"/>
      <c r="J18" s="561"/>
      <c r="K18" s="567">
        <f t="shared" ref="K18:AP18" si="10">SUM(K16:K17)</f>
        <v>0</v>
      </c>
      <c r="L18" s="567">
        <f t="shared" si="10"/>
        <v>0</v>
      </c>
      <c r="M18" s="567">
        <f t="shared" si="10"/>
        <v>0</v>
      </c>
      <c r="N18" s="567">
        <f t="shared" si="10"/>
        <v>0</v>
      </c>
      <c r="O18" s="567">
        <f t="shared" si="10"/>
        <v>0</v>
      </c>
      <c r="P18" s="567">
        <f t="shared" si="10"/>
        <v>0</v>
      </c>
      <c r="Q18" s="567">
        <f t="shared" si="10"/>
        <v>0</v>
      </c>
      <c r="R18" s="567">
        <f t="shared" si="10"/>
        <v>0</v>
      </c>
      <c r="S18" s="567">
        <f t="shared" si="10"/>
        <v>0</v>
      </c>
      <c r="T18" s="567">
        <f t="shared" si="10"/>
        <v>0</v>
      </c>
      <c r="U18" s="567">
        <f t="shared" si="10"/>
        <v>0</v>
      </c>
      <c r="V18" s="567">
        <f t="shared" si="10"/>
        <v>0</v>
      </c>
      <c r="W18" s="567">
        <f t="shared" si="10"/>
        <v>0</v>
      </c>
      <c r="X18" s="567">
        <f t="shared" si="10"/>
        <v>0</v>
      </c>
      <c r="Y18" s="567">
        <f t="shared" si="10"/>
        <v>0</v>
      </c>
      <c r="Z18" s="567">
        <f t="shared" si="10"/>
        <v>0</v>
      </c>
      <c r="AA18" s="567">
        <f t="shared" si="10"/>
        <v>0</v>
      </c>
      <c r="AB18" s="567">
        <f t="shared" si="10"/>
        <v>0</v>
      </c>
      <c r="AC18" s="567">
        <f t="shared" si="10"/>
        <v>0</v>
      </c>
      <c r="AD18" s="567">
        <f t="shared" si="10"/>
        <v>0</v>
      </c>
      <c r="AE18" s="567">
        <f t="shared" si="10"/>
        <v>0</v>
      </c>
      <c r="AF18" s="567">
        <f t="shared" si="10"/>
        <v>0</v>
      </c>
      <c r="AG18" s="567">
        <f t="shared" si="10"/>
        <v>0</v>
      </c>
      <c r="AH18" s="567">
        <f t="shared" si="10"/>
        <v>0</v>
      </c>
      <c r="AI18" s="567">
        <f t="shared" si="10"/>
        <v>0</v>
      </c>
      <c r="AJ18" s="567">
        <f t="shared" si="10"/>
        <v>0</v>
      </c>
      <c r="AK18" s="567">
        <f t="shared" si="10"/>
        <v>0</v>
      </c>
      <c r="AL18" s="567">
        <f t="shared" si="10"/>
        <v>0</v>
      </c>
      <c r="AM18" s="567">
        <f t="shared" si="10"/>
        <v>0</v>
      </c>
      <c r="AN18" s="567">
        <f t="shared" si="10"/>
        <v>0</v>
      </c>
      <c r="AO18" s="567">
        <f t="shared" si="10"/>
        <v>0</v>
      </c>
      <c r="AP18" s="567">
        <f t="shared" si="10"/>
        <v>0</v>
      </c>
      <c r="AQ18" s="567">
        <f t="shared" ref="AQ18:BH18" si="11">SUM(AQ16:AQ17)</f>
        <v>0</v>
      </c>
      <c r="AR18" s="567">
        <f t="shared" si="11"/>
        <v>0</v>
      </c>
      <c r="AS18" s="567">
        <f t="shared" si="11"/>
        <v>0</v>
      </c>
      <c r="AT18" s="567">
        <f t="shared" si="11"/>
        <v>0</v>
      </c>
      <c r="AU18" s="567">
        <f t="shared" si="11"/>
        <v>0</v>
      </c>
      <c r="AV18" s="567">
        <f t="shared" si="11"/>
        <v>0</v>
      </c>
      <c r="AW18" s="567">
        <f t="shared" si="11"/>
        <v>0</v>
      </c>
      <c r="AX18" s="567">
        <f t="shared" si="11"/>
        <v>0</v>
      </c>
      <c r="AY18" s="567">
        <f t="shared" si="11"/>
        <v>0</v>
      </c>
      <c r="AZ18" s="567">
        <f t="shared" si="11"/>
        <v>0</v>
      </c>
      <c r="BA18" s="567">
        <f t="shared" si="11"/>
        <v>0</v>
      </c>
      <c r="BB18" s="567">
        <f t="shared" si="11"/>
        <v>0</v>
      </c>
      <c r="BC18" s="567">
        <f t="shared" si="11"/>
        <v>0</v>
      </c>
      <c r="BD18" s="567">
        <f t="shared" si="11"/>
        <v>0</v>
      </c>
      <c r="BE18" s="567">
        <f t="shared" si="11"/>
        <v>0</v>
      </c>
      <c r="BF18" s="567">
        <f t="shared" si="11"/>
        <v>0</v>
      </c>
      <c r="BG18" s="567">
        <f t="shared" si="11"/>
        <v>0</v>
      </c>
      <c r="BH18" s="567">
        <f t="shared" si="11"/>
        <v>0</v>
      </c>
      <c r="BI18" s="5"/>
      <c r="BJ18" s="5"/>
      <c r="BK18" s="5"/>
      <c r="BL18" s="5"/>
      <c r="BM18" s="5"/>
      <c r="BN18" s="5"/>
      <c r="BO18" s="5"/>
      <c r="BP18" s="5"/>
      <c r="BQ18" s="5"/>
      <c r="BR18" s="5"/>
      <c r="BS18" s="5"/>
      <c r="BT18" s="5"/>
      <c r="BU18" s="5"/>
      <c r="BV18" s="5"/>
      <c r="BW18" s="5"/>
      <c r="BX18" s="5"/>
      <c r="BY18" s="5"/>
      <c r="BZ18" s="5"/>
      <c r="CA18" s="5"/>
      <c r="CB18" s="5"/>
      <c r="CC18" s="5"/>
      <c r="CD18" s="5"/>
      <c r="CE18" s="5"/>
    </row>
    <row r="19" spans="1:83" x14ac:dyDescent="0.25">
      <c r="A19" s="133" t="s">
        <v>81</v>
      </c>
      <c r="B19" s="144">
        <v>1</v>
      </c>
      <c r="C19" s="154">
        <v>0</v>
      </c>
      <c r="D19" s="155">
        <v>0</v>
      </c>
      <c r="E19" s="156">
        <v>2.0299999999999998</v>
      </c>
      <c r="H19" s="561" t="s">
        <v>188</v>
      </c>
      <c r="I19" s="561"/>
      <c r="J19" s="561"/>
      <c r="K19" s="567">
        <f>IF(K18&gt;0.1,$I$15/'Loan Rates'!$B$7,0)</f>
        <v>0</v>
      </c>
      <c r="L19" s="567">
        <f>IF(L18&gt;0.1,$I$15/'Loan Rates'!$B$7,0)</f>
        <v>0</v>
      </c>
      <c r="M19" s="567">
        <f>IF(M18&gt;0.1,$I$15/'Loan Rates'!$B$7,0)</f>
        <v>0</v>
      </c>
      <c r="N19" s="567">
        <f>IF(N18&gt;0.1,$I$15/'Loan Rates'!$B$7,0)</f>
        <v>0</v>
      </c>
      <c r="O19" s="567">
        <f>IF(O18&gt;0.1,$I$15/'Loan Rates'!$B$7,0)</f>
        <v>0</v>
      </c>
      <c r="P19" s="567">
        <f>IF(P18&gt;0.1,$I$15/'Loan Rates'!$B$7,0)</f>
        <v>0</v>
      </c>
      <c r="Q19" s="567">
        <f>IF(Q18&gt;0.1,$I$15/'Loan Rates'!$B$7,0)</f>
        <v>0</v>
      </c>
      <c r="R19" s="567">
        <f>IF(R18&gt;0.1,$I$15/'Loan Rates'!$B$7,0)</f>
        <v>0</v>
      </c>
      <c r="S19" s="567">
        <f>IF(S18&gt;0.1,$I$15/'Loan Rates'!$B$7,0)</f>
        <v>0</v>
      </c>
      <c r="T19" s="567">
        <f>IF(T18&gt;0.1,$I$15/'Loan Rates'!$B$7,0)</f>
        <v>0</v>
      </c>
      <c r="U19" s="567">
        <f>IF(U18&gt;0.1,$I$15/'Loan Rates'!$B$7,0)</f>
        <v>0</v>
      </c>
      <c r="V19" s="567">
        <f>IF(V18&gt;0.1,$I$15/'Loan Rates'!$B$7,0)</f>
        <v>0</v>
      </c>
      <c r="W19" s="567">
        <f>IF(W18&gt;0.1,$I$15/'Loan Rates'!$B$7,0)</f>
        <v>0</v>
      </c>
      <c r="X19" s="567">
        <f>IF(X18&gt;0.1,$I$15/'Loan Rates'!$B$7,0)</f>
        <v>0</v>
      </c>
      <c r="Y19" s="567">
        <f>IF(Y18&gt;0.1,$I$15/'Loan Rates'!$B$7,0)</f>
        <v>0</v>
      </c>
      <c r="Z19" s="567">
        <f>IF(Z18&gt;0.1,$I$15/'Loan Rates'!$B$7,0)</f>
        <v>0</v>
      </c>
      <c r="AA19" s="567">
        <f>IF(AA18&gt;0.1,$I$15/'Loan Rates'!$B$7,0)</f>
        <v>0</v>
      </c>
      <c r="AB19" s="567">
        <f>IF(AB18&gt;0.1,$I$15/'Loan Rates'!$B$7,0)</f>
        <v>0</v>
      </c>
      <c r="AC19" s="567">
        <f>IF(AC18&gt;0.1,$I$15/'Loan Rates'!$B$7,0)</f>
        <v>0</v>
      </c>
      <c r="AD19" s="567">
        <f>IF(AD18&gt;0.1,$I$15/'Loan Rates'!$B$7,0)</f>
        <v>0</v>
      </c>
      <c r="AE19" s="567">
        <f>IF(AE18&gt;0.1,$I$15/'Loan Rates'!$B$7,0)</f>
        <v>0</v>
      </c>
      <c r="AF19" s="567">
        <f>IF(AF18&gt;0.1,$I$15/'Loan Rates'!$B$7,0)</f>
        <v>0</v>
      </c>
      <c r="AG19" s="567">
        <f>IF(AG18&gt;0.1,$I$15/'Loan Rates'!$B$7,0)</f>
        <v>0</v>
      </c>
      <c r="AH19" s="567">
        <f>IF(AH18&gt;0.1,$I$15/'Loan Rates'!$B$7,0)</f>
        <v>0</v>
      </c>
      <c r="AI19" s="567">
        <f>IF(AI18&gt;0.1,$I$15/'Loan Rates'!$B$7,0)</f>
        <v>0</v>
      </c>
      <c r="AJ19" s="567">
        <f>IF(AJ18&gt;0.1,$I$15/'Loan Rates'!$B$7,0)</f>
        <v>0</v>
      </c>
      <c r="AK19" s="567">
        <f>IF(AK18&gt;0.1,$I$15/'Loan Rates'!$B$7,0)</f>
        <v>0</v>
      </c>
      <c r="AL19" s="567">
        <f>IF(AL18&gt;0.1,$I$15/'Loan Rates'!$B$7,0)</f>
        <v>0</v>
      </c>
      <c r="AM19" s="567">
        <f>IF(AM18&gt;0.1,$I$15/'Loan Rates'!$B$7,0)</f>
        <v>0</v>
      </c>
      <c r="AN19" s="567">
        <f>IF(AN18&gt;0.1,$I$15/'Loan Rates'!$B$7,0)</f>
        <v>0</v>
      </c>
      <c r="AO19" s="567">
        <f>IF(AO18&gt;0.1,$I$15/'Loan Rates'!$B$7,0)</f>
        <v>0</v>
      </c>
      <c r="AP19" s="567">
        <f>IF(AP18&gt;0.1,$I$15/'Loan Rates'!$B$7,0)</f>
        <v>0</v>
      </c>
      <c r="AQ19" s="567">
        <f>IF(AQ18&gt;0.1,$I$15/'Loan Rates'!$B$7,0)</f>
        <v>0</v>
      </c>
      <c r="AR19" s="567">
        <f>IF(AR18&gt;0.1,$I$15/'Loan Rates'!$B$7,0)</f>
        <v>0</v>
      </c>
      <c r="AS19" s="567">
        <f>IF(AS18&gt;0.1,$I$15/'Loan Rates'!$B$7,0)</f>
        <v>0</v>
      </c>
      <c r="AT19" s="567">
        <f>IF(AT18&gt;0.1,$I$15/'Loan Rates'!$B$7,0)</f>
        <v>0</v>
      </c>
      <c r="AU19" s="567">
        <f>IF(AU18&gt;0.1,$I$15/'Loan Rates'!$B$7,0)</f>
        <v>0</v>
      </c>
      <c r="AV19" s="567">
        <f>IF(AV18&gt;0.1,$I$15/'Loan Rates'!$B$7,0)</f>
        <v>0</v>
      </c>
      <c r="AW19" s="567">
        <f>IF(AW18&gt;0.1,$I$15/'Loan Rates'!$B$7,0)</f>
        <v>0</v>
      </c>
      <c r="AX19" s="567">
        <f>IF(AX18&gt;0.1,$I$15/'Loan Rates'!$B$7,0)</f>
        <v>0</v>
      </c>
      <c r="AY19" s="567">
        <f>IF(AY18&gt;0.1,$I$15/'Loan Rates'!$B$7,0)</f>
        <v>0</v>
      </c>
      <c r="AZ19" s="567">
        <f>IF(AZ18&gt;0.1,$I$15/'Loan Rates'!$B$7,0)</f>
        <v>0</v>
      </c>
      <c r="BA19" s="567">
        <f>IF(BA18&gt;0.1,$I$15/'Loan Rates'!$B$7,0)</f>
        <v>0</v>
      </c>
      <c r="BB19" s="567">
        <f>IF(BB18&gt;0.1,$I$15/'Loan Rates'!$B$7,0)</f>
        <v>0</v>
      </c>
      <c r="BC19" s="567">
        <f>IF(BC18&gt;0.1,$I$15/'Loan Rates'!$B$7,0)</f>
        <v>0</v>
      </c>
      <c r="BD19" s="567">
        <f>IF(BD18&gt;0.1,$I$15/'Loan Rates'!$B$7,0)</f>
        <v>0</v>
      </c>
      <c r="BE19" s="567">
        <f>IF(BE18&gt;0.1,$I$15/'Loan Rates'!$B$7,0)</f>
        <v>0</v>
      </c>
      <c r="BF19" s="567">
        <f>IF(BF18&gt;0.1,$I$15/'Loan Rates'!$B$7,0)</f>
        <v>0</v>
      </c>
      <c r="BG19" s="567">
        <f>IF(BG18&gt;0.1,$I$15/'Loan Rates'!$B$7,0)</f>
        <v>0</v>
      </c>
      <c r="BH19" s="567">
        <f>IF(BH18&gt;0.1,$I$15/'Loan Rates'!$B$7,0)</f>
        <v>0</v>
      </c>
      <c r="BI19" s="5"/>
      <c r="BJ19" s="5"/>
      <c r="BK19" s="5"/>
      <c r="BL19" s="5"/>
      <c r="BM19" s="5"/>
      <c r="BN19" s="5"/>
      <c r="BO19" s="5"/>
      <c r="BP19" s="5"/>
      <c r="BQ19" s="5"/>
      <c r="BR19" s="5"/>
      <c r="BS19" s="5"/>
      <c r="BT19" s="5"/>
      <c r="BU19" s="5"/>
      <c r="BV19" s="5"/>
      <c r="BW19" s="5"/>
      <c r="BX19" s="5"/>
      <c r="BY19" s="5"/>
      <c r="BZ19" s="5"/>
      <c r="CA19" s="5"/>
      <c r="CB19" s="5"/>
      <c r="CC19" s="5"/>
      <c r="CD19" s="5"/>
      <c r="CE19" s="5"/>
    </row>
    <row r="20" spans="1:83" x14ac:dyDescent="0.25">
      <c r="A20" s="134" t="s">
        <v>83</v>
      </c>
      <c r="B20" s="145">
        <v>1.5</v>
      </c>
      <c r="C20" s="157">
        <v>0</v>
      </c>
      <c r="D20" s="158">
        <v>0</v>
      </c>
      <c r="E20" s="159">
        <v>2.0299999999999998</v>
      </c>
      <c r="H20" s="561" t="s">
        <v>189</v>
      </c>
      <c r="I20" s="561"/>
      <c r="J20" s="561"/>
      <c r="K20" s="567">
        <f t="shared" ref="K20:AP20" si="12">K18+K19</f>
        <v>0</v>
      </c>
      <c r="L20" s="567">
        <f t="shared" si="12"/>
        <v>0</v>
      </c>
      <c r="M20" s="567">
        <f t="shared" si="12"/>
        <v>0</v>
      </c>
      <c r="N20" s="567">
        <f t="shared" si="12"/>
        <v>0</v>
      </c>
      <c r="O20" s="567">
        <f t="shared" si="12"/>
        <v>0</v>
      </c>
      <c r="P20" s="567">
        <f t="shared" si="12"/>
        <v>0</v>
      </c>
      <c r="Q20" s="567">
        <f t="shared" si="12"/>
        <v>0</v>
      </c>
      <c r="R20" s="567">
        <f t="shared" si="12"/>
        <v>0</v>
      </c>
      <c r="S20" s="567">
        <f t="shared" si="12"/>
        <v>0</v>
      </c>
      <c r="T20" s="567">
        <f t="shared" si="12"/>
        <v>0</v>
      </c>
      <c r="U20" s="567">
        <f t="shared" si="12"/>
        <v>0</v>
      </c>
      <c r="V20" s="567">
        <f t="shared" si="12"/>
        <v>0</v>
      </c>
      <c r="W20" s="567">
        <f t="shared" si="12"/>
        <v>0</v>
      </c>
      <c r="X20" s="567">
        <f t="shared" si="12"/>
        <v>0</v>
      </c>
      <c r="Y20" s="567">
        <f t="shared" si="12"/>
        <v>0</v>
      </c>
      <c r="Z20" s="567">
        <f t="shared" si="12"/>
        <v>0</v>
      </c>
      <c r="AA20" s="567">
        <f t="shared" si="12"/>
        <v>0</v>
      </c>
      <c r="AB20" s="567">
        <f t="shared" si="12"/>
        <v>0</v>
      </c>
      <c r="AC20" s="567">
        <f t="shared" si="12"/>
        <v>0</v>
      </c>
      <c r="AD20" s="567">
        <f t="shared" si="12"/>
        <v>0</v>
      </c>
      <c r="AE20" s="567">
        <f t="shared" si="12"/>
        <v>0</v>
      </c>
      <c r="AF20" s="567">
        <f t="shared" si="12"/>
        <v>0</v>
      </c>
      <c r="AG20" s="567">
        <f t="shared" si="12"/>
        <v>0</v>
      </c>
      <c r="AH20" s="567">
        <f t="shared" si="12"/>
        <v>0</v>
      </c>
      <c r="AI20" s="567">
        <f t="shared" si="12"/>
        <v>0</v>
      </c>
      <c r="AJ20" s="567">
        <f t="shared" si="12"/>
        <v>0</v>
      </c>
      <c r="AK20" s="567">
        <f t="shared" si="12"/>
        <v>0</v>
      </c>
      <c r="AL20" s="567">
        <f t="shared" si="12"/>
        <v>0</v>
      </c>
      <c r="AM20" s="567">
        <f t="shared" si="12"/>
        <v>0</v>
      </c>
      <c r="AN20" s="567">
        <f t="shared" si="12"/>
        <v>0</v>
      </c>
      <c r="AO20" s="567">
        <f t="shared" si="12"/>
        <v>0</v>
      </c>
      <c r="AP20" s="567">
        <f t="shared" si="12"/>
        <v>0</v>
      </c>
      <c r="AQ20" s="567">
        <f t="shared" ref="AQ20:BH20" si="13">AQ18+AQ19</f>
        <v>0</v>
      </c>
      <c r="AR20" s="567">
        <f t="shared" si="13"/>
        <v>0</v>
      </c>
      <c r="AS20" s="567">
        <f t="shared" si="13"/>
        <v>0</v>
      </c>
      <c r="AT20" s="567">
        <f t="shared" si="13"/>
        <v>0</v>
      </c>
      <c r="AU20" s="567">
        <f t="shared" si="13"/>
        <v>0</v>
      </c>
      <c r="AV20" s="567">
        <f t="shared" si="13"/>
        <v>0</v>
      </c>
      <c r="AW20" s="567">
        <f t="shared" si="13"/>
        <v>0</v>
      </c>
      <c r="AX20" s="567">
        <f t="shared" si="13"/>
        <v>0</v>
      </c>
      <c r="AY20" s="567">
        <f t="shared" si="13"/>
        <v>0</v>
      </c>
      <c r="AZ20" s="567">
        <f t="shared" si="13"/>
        <v>0</v>
      </c>
      <c r="BA20" s="567">
        <f t="shared" si="13"/>
        <v>0</v>
      </c>
      <c r="BB20" s="567">
        <f t="shared" si="13"/>
        <v>0</v>
      </c>
      <c r="BC20" s="567">
        <f t="shared" si="13"/>
        <v>0</v>
      </c>
      <c r="BD20" s="567">
        <f t="shared" si="13"/>
        <v>0</v>
      </c>
      <c r="BE20" s="567">
        <f t="shared" si="13"/>
        <v>0</v>
      </c>
      <c r="BF20" s="567">
        <f t="shared" si="13"/>
        <v>0</v>
      </c>
      <c r="BG20" s="567">
        <f t="shared" si="13"/>
        <v>0</v>
      </c>
      <c r="BH20" s="567">
        <f t="shared" si="13"/>
        <v>0</v>
      </c>
      <c r="BI20" s="5"/>
      <c r="BJ20" s="5"/>
      <c r="BK20" s="5"/>
      <c r="BL20" s="5"/>
      <c r="BM20" s="5"/>
      <c r="BN20" s="5"/>
      <c r="BO20" s="5"/>
      <c r="BP20" s="5"/>
      <c r="BQ20" s="5"/>
      <c r="BR20" s="5"/>
      <c r="BS20" s="5"/>
      <c r="BT20" s="5"/>
      <c r="BU20" s="5"/>
      <c r="BV20" s="5"/>
      <c r="BW20" s="5"/>
      <c r="BX20" s="5"/>
      <c r="BY20" s="5"/>
      <c r="BZ20" s="5"/>
      <c r="CA20" s="5"/>
      <c r="CB20" s="5"/>
      <c r="CC20" s="5"/>
      <c r="CD20" s="5"/>
      <c r="CE20" s="5"/>
    </row>
    <row r="21" spans="1:83" x14ac:dyDescent="0.25">
      <c r="A21" s="134" t="s">
        <v>85</v>
      </c>
      <c r="B21" s="145">
        <v>2</v>
      </c>
      <c r="C21" s="157">
        <v>2.0299999999999998</v>
      </c>
      <c r="D21" s="158">
        <v>2.0299999999999998</v>
      </c>
      <c r="E21" s="159">
        <v>2.02</v>
      </c>
      <c r="H21" s="564"/>
      <c r="I21" s="564"/>
      <c r="J21" s="564"/>
      <c r="K21" s="564"/>
      <c r="L21" s="564"/>
      <c r="M21" s="564"/>
      <c r="N21" s="564"/>
      <c r="O21" s="564"/>
      <c r="P21" s="564"/>
      <c r="Q21" s="564"/>
      <c r="R21" s="564"/>
      <c r="S21" s="564"/>
      <c r="T21" s="564"/>
      <c r="U21" s="564"/>
      <c r="V21" s="564"/>
      <c r="W21" s="564"/>
      <c r="X21" s="564"/>
      <c r="Y21" s="564"/>
      <c r="Z21" s="564"/>
      <c r="AA21" s="564"/>
      <c r="AB21" s="564"/>
      <c r="AC21" s="564"/>
      <c r="AD21" s="564"/>
      <c r="AE21" s="564"/>
      <c r="AF21" s="564"/>
      <c r="AG21" s="564"/>
      <c r="AH21" s="564"/>
      <c r="AI21" s="564"/>
      <c r="AJ21" s="564"/>
      <c r="AK21" s="564"/>
      <c r="AL21" s="564"/>
      <c r="AM21" s="564"/>
      <c r="AN21" s="564"/>
      <c r="AO21" s="564"/>
      <c r="AP21" s="564"/>
      <c r="AQ21" s="564"/>
      <c r="AR21" s="564"/>
      <c r="AS21" s="564"/>
      <c r="AT21" s="564"/>
      <c r="AU21" s="564"/>
      <c r="AV21" s="564"/>
      <c r="AW21" s="564"/>
      <c r="AX21" s="564"/>
      <c r="AY21" s="564"/>
      <c r="AZ21" s="564"/>
      <c r="BA21" s="564"/>
      <c r="BB21" s="564"/>
      <c r="BC21" s="564"/>
      <c r="BD21" s="564"/>
      <c r="BE21" s="564"/>
      <c r="BF21" s="564"/>
      <c r="BG21" s="564"/>
      <c r="BH21" s="564"/>
      <c r="BI21" s="5"/>
      <c r="BJ21" s="5"/>
      <c r="BK21" s="5"/>
      <c r="BL21" s="5"/>
      <c r="BM21" s="5"/>
      <c r="BN21" s="5"/>
      <c r="BO21" s="5"/>
      <c r="BP21" s="5"/>
      <c r="BQ21" s="5"/>
      <c r="BR21" s="5"/>
      <c r="BS21" s="5"/>
      <c r="BT21" s="5"/>
      <c r="BU21" s="5"/>
      <c r="BV21" s="5"/>
      <c r="BW21" s="5"/>
      <c r="BX21" s="5"/>
      <c r="BY21" s="5"/>
      <c r="BZ21" s="5"/>
      <c r="CA21" s="5"/>
      <c r="CB21" s="5"/>
      <c r="CC21" s="5"/>
      <c r="CD21" s="5"/>
      <c r="CE21" s="5"/>
    </row>
    <row r="22" spans="1:83" x14ac:dyDescent="0.25">
      <c r="A22" s="134" t="s">
        <v>87</v>
      </c>
      <c r="B22" s="145">
        <v>2.5</v>
      </c>
      <c r="C22" s="157">
        <v>2.02</v>
      </c>
      <c r="D22" s="158">
        <v>2.02</v>
      </c>
      <c r="E22" s="159">
        <v>2.0099999999999998</v>
      </c>
      <c r="H22" s="565" t="s">
        <v>82</v>
      </c>
      <c r="I22" s="564"/>
      <c r="J22" s="564"/>
      <c r="K22" s="564"/>
      <c r="L22" s="564"/>
      <c r="M22" s="564"/>
      <c r="N22" s="564"/>
      <c r="O22" s="564"/>
      <c r="P22" s="564"/>
      <c r="Q22" s="564"/>
      <c r="R22" s="564"/>
      <c r="S22" s="564"/>
      <c r="T22" s="564"/>
      <c r="U22" s="564"/>
      <c r="V22" s="564"/>
      <c r="W22" s="564"/>
      <c r="X22" s="564"/>
      <c r="Y22" s="564"/>
      <c r="Z22" s="564"/>
      <c r="AA22" s="564"/>
      <c r="AB22" s="564"/>
      <c r="AC22" s="564"/>
      <c r="AD22" s="564"/>
      <c r="AE22" s="564"/>
      <c r="AF22" s="564"/>
      <c r="AG22" s="564"/>
      <c r="AH22" s="564"/>
      <c r="AI22" s="564"/>
      <c r="AJ22" s="564"/>
      <c r="AK22" s="564"/>
      <c r="AL22" s="564"/>
      <c r="AM22" s="564"/>
      <c r="AN22" s="564"/>
      <c r="AO22" s="564"/>
      <c r="AP22" s="564"/>
      <c r="AQ22" s="564"/>
      <c r="AR22" s="564"/>
      <c r="AS22" s="564"/>
      <c r="AT22" s="564"/>
      <c r="AU22" s="564"/>
      <c r="AV22" s="564"/>
      <c r="AW22" s="564"/>
      <c r="AX22" s="564"/>
      <c r="AY22" s="564"/>
      <c r="AZ22" s="564"/>
      <c r="BA22" s="564"/>
      <c r="BB22" s="564"/>
      <c r="BC22" s="564"/>
      <c r="BD22" s="564"/>
      <c r="BE22" s="564"/>
      <c r="BF22" s="564"/>
      <c r="BG22" s="564"/>
      <c r="BH22" s="564"/>
      <c r="BI22" s="5"/>
      <c r="BJ22" s="5"/>
      <c r="BK22" s="5"/>
      <c r="BL22" s="5"/>
      <c r="BM22" s="5"/>
      <c r="BN22" s="5"/>
      <c r="BO22" s="5"/>
      <c r="BP22" s="5"/>
      <c r="BQ22" s="5"/>
      <c r="BR22" s="5"/>
      <c r="BS22" s="5"/>
      <c r="BT22" s="5"/>
      <c r="BU22" s="5"/>
      <c r="BV22" s="5"/>
      <c r="BW22" s="5"/>
      <c r="BX22" s="5"/>
      <c r="BY22" s="5"/>
      <c r="BZ22" s="5"/>
      <c r="CA22" s="5"/>
      <c r="CB22" s="5"/>
      <c r="CC22" s="5"/>
      <c r="CD22" s="5"/>
      <c r="CE22" s="5"/>
    </row>
    <row r="23" spans="1:83" x14ac:dyDescent="0.25">
      <c r="A23" s="134" t="s">
        <v>88</v>
      </c>
      <c r="B23" s="145">
        <v>3</v>
      </c>
      <c r="C23" s="157">
        <v>2.02</v>
      </c>
      <c r="D23" s="158">
        <v>2.02</v>
      </c>
      <c r="E23" s="159">
        <v>2.0099999999999998</v>
      </c>
      <c r="H23" s="570" t="s">
        <v>190</v>
      </c>
      <c r="I23" s="571"/>
      <c r="J23" s="571"/>
      <c r="K23" s="572">
        <f>'Loan Rates'!B6</f>
        <v>0</v>
      </c>
      <c r="L23" s="572">
        <f t="shared" ref="L23:AQ23" si="14">K27</f>
        <v>0</v>
      </c>
      <c r="M23" s="572">
        <f t="shared" si="14"/>
        <v>0</v>
      </c>
      <c r="N23" s="572">
        <f t="shared" si="14"/>
        <v>0</v>
      </c>
      <c r="O23" s="572">
        <f t="shared" si="14"/>
        <v>0</v>
      </c>
      <c r="P23" s="572">
        <f t="shared" si="14"/>
        <v>0</v>
      </c>
      <c r="Q23" s="572">
        <f t="shared" si="14"/>
        <v>0</v>
      </c>
      <c r="R23" s="572">
        <f t="shared" si="14"/>
        <v>0</v>
      </c>
      <c r="S23" s="572">
        <f t="shared" si="14"/>
        <v>0</v>
      </c>
      <c r="T23" s="572">
        <f t="shared" si="14"/>
        <v>0</v>
      </c>
      <c r="U23" s="572">
        <f t="shared" si="14"/>
        <v>0</v>
      </c>
      <c r="V23" s="572">
        <f t="shared" si="14"/>
        <v>0</v>
      </c>
      <c r="W23" s="572">
        <f t="shared" si="14"/>
        <v>0</v>
      </c>
      <c r="X23" s="572">
        <f t="shared" si="14"/>
        <v>0</v>
      </c>
      <c r="Y23" s="572">
        <f t="shared" si="14"/>
        <v>0</v>
      </c>
      <c r="Z23" s="572">
        <f t="shared" si="14"/>
        <v>0</v>
      </c>
      <c r="AA23" s="572">
        <f t="shared" si="14"/>
        <v>0</v>
      </c>
      <c r="AB23" s="572">
        <f t="shared" si="14"/>
        <v>0</v>
      </c>
      <c r="AC23" s="572">
        <f t="shared" si="14"/>
        <v>0</v>
      </c>
      <c r="AD23" s="572">
        <f t="shared" si="14"/>
        <v>0</v>
      </c>
      <c r="AE23" s="572">
        <f t="shared" si="14"/>
        <v>0</v>
      </c>
      <c r="AF23" s="572">
        <f t="shared" si="14"/>
        <v>0</v>
      </c>
      <c r="AG23" s="572">
        <f t="shared" si="14"/>
        <v>0</v>
      </c>
      <c r="AH23" s="572">
        <f t="shared" si="14"/>
        <v>0</v>
      </c>
      <c r="AI23" s="572">
        <f t="shared" si="14"/>
        <v>0</v>
      </c>
      <c r="AJ23" s="572">
        <f t="shared" si="14"/>
        <v>0</v>
      </c>
      <c r="AK23" s="572">
        <f t="shared" si="14"/>
        <v>0</v>
      </c>
      <c r="AL23" s="572">
        <f t="shared" si="14"/>
        <v>0</v>
      </c>
      <c r="AM23" s="572">
        <f t="shared" si="14"/>
        <v>0</v>
      </c>
      <c r="AN23" s="572">
        <f t="shared" si="14"/>
        <v>0</v>
      </c>
      <c r="AO23" s="572">
        <f t="shared" si="14"/>
        <v>0</v>
      </c>
      <c r="AP23" s="572">
        <f t="shared" si="14"/>
        <v>0</v>
      </c>
      <c r="AQ23" s="572">
        <f t="shared" si="14"/>
        <v>0</v>
      </c>
      <c r="AR23" s="572">
        <f t="shared" ref="AR23:BH23" si="15">AQ27</f>
        <v>0</v>
      </c>
      <c r="AS23" s="572">
        <f t="shared" si="15"/>
        <v>0</v>
      </c>
      <c r="AT23" s="572">
        <f t="shared" si="15"/>
        <v>0</v>
      </c>
      <c r="AU23" s="572">
        <f t="shared" si="15"/>
        <v>0</v>
      </c>
      <c r="AV23" s="572">
        <f t="shared" si="15"/>
        <v>0</v>
      </c>
      <c r="AW23" s="572">
        <f t="shared" si="15"/>
        <v>0</v>
      </c>
      <c r="AX23" s="572">
        <f t="shared" si="15"/>
        <v>0</v>
      </c>
      <c r="AY23" s="572">
        <f t="shared" si="15"/>
        <v>0</v>
      </c>
      <c r="AZ23" s="572">
        <f t="shared" si="15"/>
        <v>0</v>
      </c>
      <c r="BA23" s="572">
        <f t="shared" si="15"/>
        <v>0</v>
      </c>
      <c r="BB23" s="572">
        <f t="shared" si="15"/>
        <v>0</v>
      </c>
      <c r="BC23" s="572">
        <f t="shared" si="15"/>
        <v>0</v>
      </c>
      <c r="BD23" s="572">
        <f t="shared" si="15"/>
        <v>0</v>
      </c>
      <c r="BE23" s="572">
        <f t="shared" si="15"/>
        <v>0</v>
      </c>
      <c r="BF23" s="572">
        <f t="shared" si="15"/>
        <v>0</v>
      </c>
      <c r="BG23" s="572">
        <f t="shared" si="15"/>
        <v>0</v>
      </c>
      <c r="BH23" s="572">
        <f t="shared" si="15"/>
        <v>0</v>
      </c>
      <c r="BI23" s="8"/>
      <c r="BJ23" s="8"/>
      <c r="BK23" s="8"/>
      <c r="BL23" s="8"/>
      <c r="BM23" s="8"/>
      <c r="BN23" s="8"/>
      <c r="BO23" s="8"/>
      <c r="BP23" s="8"/>
      <c r="BQ23" s="8"/>
      <c r="BR23" s="8"/>
      <c r="BS23" s="8"/>
      <c r="BT23" s="8"/>
      <c r="BU23" s="8"/>
      <c r="BV23" s="8"/>
      <c r="BW23" s="8"/>
      <c r="BX23" s="8"/>
      <c r="BY23" s="8"/>
      <c r="BZ23" s="8"/>
      <c r="CA23" s="8"/>
      <c r="CB23" s="8"/>
      <c r="CC23" s="8"/>
      <c r="CD23" s="8"/>
      <c r="CE23" s="8"/>
    </row>
    <row r="24" spans="1:83" x14ac:dyDescent="0.25">
      <c r="A24" s="134" t="s">
        <v>89</v>
      </c>
      <c r="B24" s="145">
        <v>3.5</v>
      </c>
      <c r="C24" s="157">
        <v>2.0099999999999998</v>
      </c>
      <c r="D24" s="158">
        <v>2.0099999999999998</v>
      </c>
      <c r="E24" s="159">
        <v>2.0099999999999998</v>
      </c>
      <c r="H24" s="570" t="s">
        <v>191</v>
      </c>
      <c r="I24" s="571"/>
      <c r="J24" s="571"/>
      <c r="K24" s="572">
        <f>IFERROR(K23*'Loan Rates'!$B$10,0)</f>
        <v>0</v>
      </c>
      <c r="L24" s="572">
        <f>IF(K27&gt;1,L23*'Loan Rates'!$B$10,0)</f>
        <v>0</v>
      </c>
      <c r="M24" s="572">
        <f>IF(L27&gt;1,M23*'Loan Rates'!$B$10,0)</f>
        <v>0</v>
      </c>
      <c r="N24" s="572">
        <f>IF(M27&gt;1,N23*'Loan Rates'!$B$10,0)</f>
        <v>0</v>
      </c>
      <c r="O24" s="572">
        <f>IF(N27&gt;1,O23*'Loan Rates'!$B$10,0)</f>
        <v>0</v>
      </c>
      <c r="P24" s="572">
        <f>IF(O27&gt;1,P23*'Loan Rates'!$B$10,0)</f>
        <v>0</v>
      </c>
      <c r="Q24" s="572">
        <f>IF(P27&gt;1,Q23*'Loan Rates'!$B$10,0)</f>
        <v>0</v>
      </c>
      <c r="R24" s="572">
        <f>IF(Q27&gt;1,R23*'Loan Rates'!$B$10,0)</f>
        <v>0</v>
      </c>
      <c r="S24" s="572">
        <f>IF(R27&gt;1,S23*'Loan Rates'!$B$10,0)</f>
        <v>0</v>
      </c>
      <c r="T24" s="572">
        <f>IF(S27&gt;1,T23*'Loan Rates'!$B$10,0)</f>
        <v>0</v>
      </c>
      <c r="U24" s="572">
        <f>IF(T27&gt;1,U23*'Loan Rates'!$B$10,0)</f>
        <v>0</v>
      </c>
      <c r="V24" s="572">
        <f>IF(U27&gt;1,V23*'Loan Rates'!$B$10,0)</f>
        <v>0</v>
      </c>
      <c r="W24" s="572">
        <f>IF(V27&gt;1,W23*'Loan Rates'!$B$10,0)</f>
        <v>0</v>
      </c>
      <c r="X24" s="572">
        <f>IF(W27&gt;1,X23*'Loan Rates'!$B$10,0)</f>
        <v>0</v>
      </c>
      <c r="Y24" s="572">
        <f>IF(X27&gt;1,Y23*'Loan Rates'!$B$10,0)</f>
        <v>0</v>
      </c>
      <c r="Z24" s="572">
        <f>IF(Y27&gt;1,Z23*'Loan Rates'!$B$10,0)</f>
        <v>0</v>
      </c>
      <c r="AA24" s="572">
        <f>IF(Z27&gt;1,AA23*'Loan Rates'!$B$10,0)</f>
        <v>0</v>
      </c>
      <c r="AB24" s="572">
        <f>IF(AA27&gt;1,AB23*'Loan Rates'!$B$10,0)</f>
        <v>0</v>
      </c>
      <c r="AC24" s="572">
        <f>IF(AB27&gt;1,AC23*'Loan Rates'!$B$10,0)</f>
        <v>0</v>
      </c>
      <c r="AD24" s="572">
        <f>IF(AC27&gt;1,AD23*'Loan Rates'!$B$10,0)</f>
        <v>0</v>
      </c>
      <c r="AE24" s="572">
        <f>IF(AD27&gt;1,AE23*'Loan Rates'!$B$10,0)</f>
        <v>0</v>
      </c>
      <c r="AF24" s="572">
        <f>IF(AE27&gt;1,AF23*'Loan Rates'!$B$10,0)</f>
        <v>0</v>
      </c>
      <c r="AG24" s="572">
        <f>IF(AF27&gt;1,AG23*'Loan Rates'!$B$10,0)</f>
        <v>0</v>
      </c>
      <c r="AH24" s="572">
        <f>IF(AG27&gt;1,AH23*'Loan Rates'!$B$10,0)</f>
        <v>0</v>
      </c>
      <c r="AI24" s="572">
        <f>IF(AH27&gt;1,AI23*'Loan Rates'!$B$10,0)</f>
        <v>0</v>
      </c>
      <c r="AJ24" s="572">
        <f>IF(AI27&gt;1,AJ23*'Loan Rates'!$B$10,0)</f>
        <v>0</v>
      </c>
      <c r="AK24" s="572">
        <f>IF(AJ27&gt;1,AK23*'Loan Rates'!$B$10,0)</f>
        <v>0</v>
      </c>
      <c r="AL24" s="572">
        <f>IF(AK27&gt;1,AL23*'Loan Rates'!$B$10,0)</f>
        <v>0</v>
      </c>
      <c r="AM24" s="572">
        <f>IF(AL27&gt;1,AM23*'Loan Rates'!$B$10,0)</f>
        <v>0</v>
      </c>
      <c r="AN24" s="572">
        <f>IF(AM27&gt;1,AN23*'Loan Rates'!$B$10,0)</f>
        <v>0</v>
      </c>
      <c r="AO24" s="572">
        <f>IF(AN27&gt;1,AO23*'Loan Rates'!$B$10,0)</f>
        <v>0</v>
      </c>
      <c r="AP24" s="572">
        <f>IF(AO27&gt;1,AP23*'Loan Rates'!$B$10,0)</f>
        <v>0</v>
      </c>
      <c r="AQ24" s="572">
        <f>IF(AP27&gt;1,AQ23*'Loan Rates'!$B$10,0)</f>
        <v>0</v>
      </c>
      <c r="AR24" s="572">
        <f>IF(AQ27&gt;1,AR23*'Loan Rates'!$B$10,0)</f>
        <v>0</v>
      </c>
      <c r="AS24" s="572">
        <f>IF(AR27&gt;1,AS23*'Loan Rates'!$B$10,0)</f>
        <v>0</v>
      </c>
      <c r="AT24" s="572">
        <f>IF(AS27&gt;1,AT23*'Loan Rates'!$B$10,0)</f>
        <v>0</v>
      </c>
      <c r="AU24" s="572">
        <f>IF(AT27&gt;1,AU23*'Loan Rates'!$B$10,0)</f>
        <v>0</v>
      </c>
      <c r="AV24" s="572">
        <f>IF(AU27&gt;1,AV23*'Loan Rates'!$B$10,0)</f>
        <v>0</v>
      </c>
      <c r="AW24" s="572">
        <f>IF(AV27&gt;1,AW23*'Loan Rates'!$B$10,0)</f>
        <v>0</v>
      </c>
      <c r="AX24" s="572">
        <f>IF(AW27&gt;1,AX23*'Loan Rates'!$B$10,0)</f>
        <v>0</v>
      </c>
      <c r="AY24" s="572">
        <f>IF(AX27&gt;1,AY23*'Loan Rates'!$B$10,0)</f>
        <v>0</v>
      </c>
      <c r="AZ24" s="572">
        <f>IF(AY27&gt;1,AZ23*'Loan Rates'!$B$10,0)</f>
        <v>0</v>
      </c>
      <c r="BA24" s="572">
        <f>IF(AZ27&gt;1,BA23*'Loan Rates'!$B$10,0)</f>
        <v>0</v>
      </c>
      <c r="BB24" s="572">
        <f>IF(BA27&gt;1,BB23*'Loan Rates'!$B$10,0)</f>
        <v>0</v>
      </c>
      <c r="BC24" s="572">
        <f>IF(BB27&gt;1,BC23*'Loan Rates'!$B$10,0)</f>
        <v>0</v>
      </c>
      <c r="BD24" s="572">
        <f>IF(BC27&gt;1,BD23*'Loan Rates'!$B$10,0)</f>
        <v>0</v>
      </c>
      <c r="BE24" s="572">
        <f>IF(BD27&gt;1,BE23*'Loan Rates'!$B$10,0)</f>
        <v>0</v>
      </c>
      <c r="BF24" s="572">
        <f>IF(BE27&gt;1,BF23*'Loan Rates'!$B$10,0)</f>
        <v>0</v>
      </c>
      <c r="BG24" s="572">
        <f>IF(BF27&gt;1,BG23*'Loan Rates'!$B$10,0)</f>
        <v>0</v>
      </c>
      <c r="BH24" s="572">
        <f>IF(BG27&gt;1,BH23*'Loan Rates'!$B$10,0)</f>
        <v>0</v>
      </c>
      <c r="BI24" s="8"/>
      <c r="BJ24" s="8"/>
      <c r="BK24" s="8"/>
      <c r="BL24" s="8"/>
      <c r="BM24" s="8"/>
      <c r="BN24" s="8"/>
      <c r="BO24" s="8"/>
      <c r="BP24" s="8"/>
      <c r="BQ24" s="8"/>
      <c r="BR24" s="8"/>
      <c r="BS24" s="8"/>
      <c r="BT24" s="8"/>
      <c r="BU24" s="8"/>
      <c r="BV24" s="8"/>
      <c r="BW24" s="8"/>
      <c r="BX24" s="8"/>
      <c r="BY24" s="8"/>
      <c r="BZ24" s="8"/>
      <c r="CA24" s="8"/>
      <c r="CB24" s="8"/>
      <c r="CC24" s="8"/>
      <c r="CD24" s="8"/>
      <c r="CE24" s="8"/>
    </row>
    <row r="25" spans="1:83" x14ac:dyDescent="0.25">
      <c r="A25" s="134" t="s">
        <v>91</v>
      </c>
      <c r="B25" s="145">
        <v>4</v>
      </c>
      <c r="C25" s="157">
        <v>2.0099999999999998</v>
      </c>
      <c r="D25" s="158">
        <v>2.0099999999999998</v>
      </c>
      <c r="E25" s="159">
        <v>2.0099999999999998</v>
      </c>
      <c r="H25" s="570" t="s">
        <v>192</v>
      </c>
      <c r="I25" s="571"/>
      <c r="J25" s="571"/>
      <c r="K25" s="572">
        <f>IFERROR($K$23/'Loan Rates'!$B$7,0)</f>
        <v>0</v>
      </c>
      <c r="L25" s="572">
        <f>IF(K27&gt;1,$K$23/'Loan Rates'!$B$7,0)</f>
        <v>0</v>
      </c>
      <c r="M25" s="572">
        <f>IF(L27&gt;1,$K$23/'Loan Rates'!$B$7,0)</f>
        <v>0</v>
      </c>
      <c r="N25" s="572">
        <f>IF(M27&gt;1,$K$23/'Loan Rates'!$B$7,0)</f>
        <v>0</v>
      </c>
      <c r="O25" s="572">
        <f>IF(N27&gt;1,$K$23/'Loan Rates'!$B$7,0)</f>
        <v>0</v>
      </c>
      <c r="P25" s="572">
        <f>IF(O27&gt;1,$K$23/'Loan Rates'!$B$7,0)</f>
        <v>0</v>
      </c>
      <c r="Q25" s="572">
        <f>IF(P27&gt;1,$K$23/'Loan Rates'!$B$7,0)</f>
        <v>0</v>
      </c>
      <c r="R25" s="572">
        <f>IF(Q27&gt;1,$K$23/'Loan Rates'!$B$7,0)</f>
        <v>0</v>
      </c>
      <c r="S25" s="572">
        <f>IF(R27&gt;1,$K$23/'Loan Rates'!$B$7,0)</f>
        <v>0</v>
      </c>
      <c r="T25" s="572">
        <f>IF(S27&gt;1,$K$23/'Loan Rates'!$B$7,0)</f>
        <v>0</v>
      </c>
      <c r="U25" s="572">
        <f>IF(T27&gt;1,$K$23/'Loan Rates'!$B$7,0)</f>
        <v>0</v>
      </c>
      <c r="V25" s="572">
        <f>IF(U27&gt;1,$K$23/'Loan Rates'!$B$7,0)</f>
        <v>0</v>
      </c>
      <c r="W25" s="572">
        <f>IF(V27&gt;1,$K$23/'Loan Rates'!$B$7,0)</f>
        <v>0</v>
      </c>
      <c r="X25" s="572">
        <f>IF(W27&gt;1,$K$23/'Loan Rates'!$B$7,0)</f>
        <v>0</v>
      </c>
      <c r="Y25" s="572">
        <f>IF(X27&gt;1,$K$23/'Loan Rates'!$B$7,0)</f>
        <v>0</v>
      </c>
      <c r="Z25" s="572">
        <f>IF(Y27&gt;1,$K$23/'Loan Rates'!$B$7,0)</f>
        <v>0</v>
      </c>
      <c r="AA25" s="572">
        <f>IF(Z27&gt;1,$K$23/'Loan Rates'!$B$7,0)</f>
        <v>0</v>
      </c>
      <c r="AB25" s="572">
        <f>IF(AA27&gt;1,$K$23/'Loan Rates'!$B$7,0)</f>
        <v>0</v>
      </c>
      <c r="AC25" s="572">
        <f>IF(AB27&gt;1,$K$23/'Loan Rates'!$B$7,0)</f>
        <v>0</v>
      </c>
      <c r="AD25" s="572">
        <f>IF(AC27&gt;1,$K$23/'Loan Rates'!$B$7,0)</f>
        <v>0</v>
      </c>
      <c r="AE25" s="572">
        <f>IF(AD27&gt;1,$K$23/'Loan Rates'!$B$7,0)</f>
        <v>0</v>
      </c>
      <c r="AF25" s="572">
        <f>IF(AE27&gt;1,$K$23/'Loan Rates'!$B$7,0)</f>
        <v>0</v>
      </c>
      <c r="AG25" s="572">
        <f>IF(AF27&gt;1,$K$23/'Loan Rates'!$B$7,0)</f>
        <v>0</v>
      </c>
      <c r="AH25" s="572">
        <f>IF(AG27&gt;1,$K$23/'Loan Rates'!$B$7,0)</f>
        <v>0</v>
      </c>
      <c r="AI25" s="572">
        <f>IF(AH27&gt;1,$K$23/'Loan Rates'!$B$7,0)</f>
        <v>0</v>
      </c>
      <c r="AJ25" s="572">
        <f>IF(AI27&gt;1,$K$23/'Loan Rates'!$B$7,0)</f>
        <v>0</v>
      </c>
      <c r="AK25" s="572">
        <f>IF(AJ27&gt;1,$K$23/'Loan Rates'!$B$7,0)</f>
        <v>0</v>
      </c>
      <c r="AL25" s="572">
        <f>IF(AK27&gt;1,$K$23/'Loan Rates'!$B$7,0)</f>
        <v>0</v>
      </c>
      <c r="AM25" s="572">
        <f>IF(AL27&gt;1,$K$23/'Loan Rates'!$B$7,0)</f>
        <v>0</v>
      </c>
      <c r="AN25" s="572">
        <f>IF(AM27&gt;1,$K$23/'Loan Rates'!$B$7,0)</f>
        <v>0</v>
      </c>
      <c r="AO25" s="572">
        <f>IF(AN27&gt;1,$K$23/'Loan Rates'!$B$7,0)</f>
        <v>0</v>
      </c>
      <c r="AP25" s="572">
        <f>IF(AO27&gt;1,$K$23/'Loan Rates'!$B$7,0)</f>
        <v>0</v>
      </c>
      <c r="AQ25" s="572">
        <f>IF(AP27&gt;1,$K$23/'Loan Rates'!$B$7,0)</f>
        <v>0</v>
      </c>
      <c r="AR25" s="572">
        <f>IF(AQ27&gt;1,$K$23/'Loan Rates'!$B$7,0)</f>
        <v>0</v>
      </c>
      <c r="AS25" s="572">
        <f>IF(AR27&gt;1,$K$23/'Loan Rates'!$B$7,0)</f>
        <v>0</v>
      </c>
      <c r="AT25" s="572">
        <f>IF(AS27&gt;1,$K$23/'Loan Rates'!$B$7,0)</f>
        <v>0</v>
      </c>
      <c r="AU25" s="572">
        <f>IF(AT27&gt;1,$K$23/'Loan Rates'!$B$7,0)</f>
        <v>0</v>
      </c>
      <c r="AV25" s="572">
        <f>IF(AU27&gt;1,$K$23/'Loan Rates'!$B$7,0)</f>
        <v>0</v>
      </c>
      <c r="AW25" s="572">
        <f>IF(AV27&gt;1,$K$23/'Loan Rates'!$B$7,0)</f>
        <v>0</v>
      </c>
      <c r="AX25" s="572">
        <f>IF(AW27&gt;1,$K$23/'Loan Rates'!$B$7,0)</f>
        <v>0</v>
      </c>
      <c r="AY25" s="572">
        <f>IF(AX27&gt;1,$K$23/'Loan Rates'!$B$7,0)</f>
        <v>0</v>
      </c>
      <c r="AZ25" s="572">
        <f>IF(AY27&gt;1,$K$23/'Loan Rates'!$B$7,0)</f>
        <v>0</v>
      </c>
      <c r="BA25" s="572">
        <f>IF(AZ27&gt;1,$K$23/'Loan Rates'!$B$7,0)</f>
        <v>0</v>
      </c>
      <c r="BB25" s="572">
        <f>IF(BA27&gt;1,$K$23/'Loan Rates'!$B$7,0)</f>
        <v>0</v>
      </c>
      <c r="BC25" s="572">
        <f>IF(BB27&gt;1,$K$23/'Loan Rates'!$B$7,0)</f>
        <v>0</v>
      </c>
      <c r="BD25" s="572">
        <f>IF(BC27&gt;1,$K$23/'Loan Rates'!$B$7,0)</f>
        <v>0</v>
      </c>
      <c r="BE25" s="572">
        <f>IF(BD27&gt;1,$K$23/'Loan Rates'!$B$7,0)</f>
        <v>0</v>
      </c>
      <c r="BF25" s="572">
        <f>IF(BE27&gt;1,$K$23/'Loan Rates'!$B$7,0)</f>
        <v>0</v>
      </c>
      <c r="BG25" s="572">
        <f>IF(BF27&gt;1,$K$23/'Loan Rates'!$B$7,0)</f>
        <v>0</v>
      </c>
      <c r="BH25" s="572">
        <f>IF(BG27&gt;1,$K$23/'Loan Rates'!$B$7,0)</f>
        <v>0</v>
      </c>
      <c r="BI25" s="8"/>
      <c r="BJ25" s="8"/>
      <c r="BK25" s="8"/>
      <c r="BL25" s="8"/>
      <c r="BM25" s="8"/>
      <c r="BN25" s="8"/>
      <c r="BO25" s="8"/>
      <c r="BP25" s="8"/>
      <c r="BQ25" s="8"/>
      <c r="BR25" s="8"/>
      <c r="BS25" s="8"/>
      <c r="BT25" s="8"/>
      <c r="BU25" s="8"/>
      <c r="BV25" s="8"/>
      <c r="BW25" s="8"/>
      <c r="BX25" s="8"/>
      <c r="BY25" s="8"/>
      <c r="BZ25" s="8"/>
      <c r="CA25" s="8"/>
      <c r="CB25" s="8"/>
      <c r="CC25" s="8"/>
      <c r="CD25" s="8"/>
      <c r="CE25" s="8"/>
    </row>
    <row r="26" spans="1:83" x14ac:dyDescent="0.25">
      <c r="A26" s="134" t="s">
        <v>92</v>
      </c>
      <c r="B26" s="145">
        <v>4.5</v>
      </c>
      <c r="C26" s="157">
        <v>2.0099999999999998</v>
      </c>
      <c r="D26" s="158">
        <v>2.0099999999999998</v>
      </c>
      <c r="E26" s="159">
        <v>2.0099999999999998</v>
      </c>
      <c r="H26" s="570" t="s">
        <v>193</v>
      </c>
      <c r="I26" s="571"/>
      <c r="J26" s="571"/>
      <c r="K26" s="572">
        <f t="shared" ref="K26:AP26" si="16">K24+K25</f>
        <v>0</v>
      </c>
      <c r="L26" s="572">
        <f t="shared" si="16"/>
        <v>0</v>
      </c>
      <c r="M26" s="572">
        <f t="shared" si="16"/>
        <v>0</v>
      </c>
      <c r="N26" s="572">
        <f t="shared" si="16"/>
        <v>0</v>
      </c>
      <c r="O26" s="572">
        <f t="shared" si="16"/>
        <v>0</v>
      </c>
      <c r="P26" s="572">
        <f t="shared" si="16"/>
        <v>0</v>
      </c>
      <c r="Q26" s="572">
        <f t="shared" si="16"/>
        <v>0</v>
      </c>
      <c r="R26" s="572">
        <f t="shared" si="16"/>
        <v>0</v>
      </c>
      <c r="S26" s="572">
        <f t="shared" si="16"/>
        <v>0</v>
      </c>
      <c r="T26" s="572">
        <f t="shared" si="16"/>
        <v>0</v>
      </c>
      <c r="U26" s="572">
        <f t="shared" si="16"/>
        <v>0</v>
      </c>
      <c r="V26" s="572">
        <f t="shared" si="16"/>
        <v>0</v>
      </c>
      <c r="W26" s="572">
        <f t="shared" si="16"/>
        <v>0</v>
      </c>
      <c r="X26" s="572">
        <f t="shared" si="16"/>
        <v>0</v>
      </c>
      <c r="Y26" s="572">
        <f t="shared" si="16"/>
        <v>0</v>
      </c>
      <c r="Z26" s="572">
        <f t="shared" si="16"/>
        <v>0</v>
      </c>
      <c r="AA26" s="572">
        <f t="shared" si="16"/>
        <v>0</v>
      </c>
      <c r="AB26" s="572">
        <f t="shared" si="16"/>
        <v>0</v>
      </c>
      <c r="AC26" s="572">
        <f t="shared" si="16"/>
        <v>0</v>
      </c>
      <c r="AD26" s="572">
        <f t="shared" si="16"/>
        <v>0</v>
      </c>
      <c r="AE26" s="572">
        <f t="shared" si="16"/>
        <v>0</v>
      </c>
      <c r="AF26" s="572">
        <f t="shared" si="16"/>
        <v>0</v>
      </c>
      <c r="AG26" s="572">
        <f t="shared" si="16"/>
        <v>0</v>
      </c>
      <c r="AH26" s="572">
        <f t="shared" si="16"/>
        <v>0</v>
      </c>
      <c r="AI26" s="572">
        <f t="shared" si="16"/>
        <v>0</v>
      </c>
      <c r="AJ26" s="572">
        <f t="shared" si="16"/>
        <v>0</v>
      </c>
      <c r="AK26" s="572">
        <f t="shared" si="16"/>
        <v>0</v>
      </c>
      <c r="AL26" s="572">
        <f t="shared" si="16"/>
        <v>0</v>
      </c>
      <c r="AM26" s="572">
        <f t="shared" si="16"/>
        <v>0</v>
      </c>
      <c r="AN26" s="572">
        <f t="shared" si="16"/>
        <v>0</v>
      </c>
      <c r="AO26" s="572">
        <f t="shared" si="16"/>
        <v>0</v>
      </c>
      <c r="AP26" s="572">
        <f t="shared" si="16"/>
        <v>0</v>
      </c>
      <c r="AQ26" s="572">
        <f t="shared" ref="AQ26:BH26" si="17">AQ24+AQ25</f>
        <v>0</v>
      </c>
      <c r="AR26" s="572">
        <f t="shared" si="17"/>
        <v>0</v>
      </c>
      <c r="AS26" s="572">
        <f t="shared" si="17"/>
        <v>0</v>
      </c>
      <c r="AT26" s="572">
        <f t="shared" si="17"/>
        <v>0</v>
      </c>
      <c r="AU26" s="572">
        <f t="shared" si="17"/>
        <v>0</v>
      </c>
      <c r="AV26" s="572">
        <f t="shared" si="17"/>
        <v>0</v>
      </c>
      <c r="AW26" s="572">
        <f t="shared" si="17"/>
        <v>0</v>
      </c>
      <c r="AX26" s="572">
        <f t="shared" si="17"/>
        <v>0</v>
      </c>
      <c r="AY26" s="572">
        <f t="shared" si="17"/>
        <v>0</v>
      </c>
      <c r="AZ26" s="572">
        <f t="shared" si="17"/>
        <v>0</v>
      </c>
      <c r="BA26" s="572">
        <f t="shared" si="17"/>
        <v>0</v>
      </c>
      <c r="BB26" s="572">
        <f t="shared" si="17"/>
        <v>0</v>
      </c>
      <c r="BC26" s="572">
        <f t="shared" si="17"/>
        <v>0</v>
      </c>
      <c r="BD26" s="572">
        <f t="shared" si="17"/>
        <v>0</v>
      </c>
      <c r="BE26" s="572">
        <f t="shared" si="17"/>
        <v>0</v>
      </c>
      <c r="BF26" s="572">
        <f t="shared" si="17"/>
        <v>0</v>
      </c>
      <c r="BG26" s="572">
        <f t="shared" si="17"/>
        <v>0</v>
      </c>
      <c r="BH26" s="572">
        <f t="shared" si="17"/>
        <v>0</v>
      </c>
      <c r="BI26" s="8"/>
      <c r="BJ26" s="8"/>
      <c r="BK26" s="8"/>
      <c r="BL26" s="8"/>
      <c r="BM26" s="8"/>
      <c r="BN26" s="8"/>
      <c r="BO26" s="8"/>
      <c r="BP26" s="8"/>
      <c r="BQ26" s="8"/>
      <c r="BR26" s="8"/>
      <c r="BS26" s="8"/>
      <c r="BT26" s="8"/>
      <c r="BU26" s="8"/>
      <c r="BV26" s="8"/>
      <c r="BW26" s="8"/>
      <c r="BX26" s="8"/>
      <c r="BY26" s="8"/>
      <c r="BZ26" s="8"/>
      <c r="CA26" s="8"/>
      <c r="CB26" s="8"/>
      <c r="CC26" s="8"/>
      <c r="CD26" s="8"/>
      <c r="CE26" s="8"/>
    </row>
    <row r="27" spans="1:83" x14ac:dyDescent="0.25">
      <c r="A27" s="134" t="s">
        <v>93</v>
      </c>
      <c r="B27" s="145">
        <v>5</v>
      </c>
      <c r="C27" s="157">
        <v>2.0099999999999998</v>
      </c>
      <c r="D27" s="158">
        <v>2.0099999999999998</v>
      </c>
      <c r="E27" s="159">
        <v>2.02</v>
      </c>
      <c r="H27" s="570" t="s">
        <v>194</v>
      </c>
      <c r="I27" s="571"/>
      <c r="J27" s="571"/>
      <c r="K27" s="572">
        <f t="shared" ref="K27:AP27" si="18">K23-K25</f>
        <v>0</v>
      </c>
      <c r="L27" s="572">
        <f t="shared" si="18"/>
        <v>0</v>
      </c>
      <c r="M27" s="572">
        <f t="shared" si="18"/>
        <v>0</v>
      </c>
      <c r="N27" s="572">
        <f t="shared" si="18"/>
        <v>0</v>
      </c>
      <c r="O27" s="572">
        <f t="shared" si="18"/>
        <v>0</v>
      </c>
      <c r="P27" s="572">
        <f t="shared" si="18"/>
        <v>0</v>
      </c>
      <c r="Q27" s="572">
        <f t="shared" si="18"/>
        <v>0</v>
      </c>
      <c r="R27" s="572">
        <f t="shared" si="18"/>
        <v>0</v>
      </c>
      <c r="S27" s="572">
        <f t="shared" si="18"/>
        <v>0</v>
      </c>
      <c r="T27" s="572">
        <f t="shared" si="18"/>
        <v>0</v>
      </c>
      <c r="U27" s="572">
        <f t="shared" si="18"/>
        <v>0</v>
      </c>
      <c r="V27" s="572">
        <f t="shared" si="18"/>
        <v>0</v>
      </c>
      <c r="W27" s="572">
        <f t="shared" si="18"/>
        <v>0</v>
      </c>
      <c r="X27" s="572">
        <f t="shared" si="18"/>
        <v>0</v>
      </c>
      <c r="Y27" s="572">
        <f t="shared" si="18"/>
        <v>0</v>
      </c>
      <c r="Z27" s="572">
        <f t="shared" si="18"/>
        <v>0</v>
      </c>
      <c r="AA27" s="572">
        <f t="shared" si="18"/>
        <v>0</v>
      </c>
      <c r="AB27" s="572">
        <f t="shared" si="18"/>
        <v>0</v>
      </c>
      <c r="AC27" s="572">
        <f t="shared" si="18"/>
        <v>0</v>
      </c>
      <c r="AD27" s="572">
        <f t="shared" si="18"/>
        <v>0</v>
      </c>
      <c r="AE27" s="572">
        <f t="shared" si="18"/>
        <v>0</v>
      </c>
      <c r="AF27" s="572">
        <f t="shared" si="18"/>
        <v>0</v>
      </c>
      <c r="AG27" s="572">
        <f t="shared" si="18"/>
        <v>0</v>
      </c>
      <c r="AH27" s="572">
        <f t="shared" si="18"/>
        <v>0</v>
      </c>
      <c r="AI27" s="572">
        <f t="shared" si="18"/>
        <v>0</v>
      </c>
      <c r="AJ27" s="572">
        <f t="shared" si="18"/>
        <v>0</v>
      </c>
      <c r="AK27" s="572">
        <f t="shared" si="18"/>
        <v>0</v>
      </c>
      <c r="AL27" s="572">
        <f t="shared" si="18"/>
        <v>0</v>
      </c>
      <c r="AM27" s="572">
        <f t="shared" si="18"/>
        <v>0</v>
      </c>
      <c r="AN27" s="572">
        <f t="shared" si="18"/>
        <v>0</v>
      </c>
      <c r="AO27" s="572">
        <f t="shared" si="18"/>
        <v>0</v>
      </c>
      <c r="AP27" s="572">
        <f t="shared" si="18"/>
        <v>0</v>
      </c>
      <c r="AQ27" s="572">
        <f t="shared" ref="AQ27:BH27" si="19">AQ23-AQ25</f>
        <v>0</v>
      </c>
      <c r="AR27" s="572">
        <f t="shared" si="19"/>
        <v>0</v>
      </c>
      <c r="AS27" s="572">
        <f t="shared" si="19"/>
        <v>0</v>
      </c>
      <c r="AT27" s="572">
        <f t="shared" si="19"/>
        <v>0</v>
      </c>
      <c r="AU27" s="572">
        <f t="shared" si="19"/>
        <v>0</v>
      </c>
      <c r="AV27" s="572">
        <f t="shared" si="19"/>
        <v>0</v>
      </c>
      <c r="AW27" s="572">
        <f t="shared" si="19"/>
        <v>0</v>
      </c>
      <c r="AX27" s="572">
        <f t="shared" si="19"/>
        <v>0</v>
      </c>
      <c r="AY27" s="572">
        <f t="shared" si="19"/>
        <v>0</v>
      </c>
      <c r="AZ27" s="572">
        <f t="shared" si="19"/>
        <v>0</v>
      </c>
      <c r="BA27" s="572">
        <f t="shared" si="19"/>
        <v>0</v>
      </c>
      <c r="BB27" s="572">
        <f t="shared" si="19"/>
        <v>0</v>
      </c>
      <c r="BC27" s="572">
        <f t="shared" si="19"/>
        <v>0</v>
      </c>
      <c r="BD27" s="572">
        <f t="shared" si="19"/>
        <v>0</v>
      </c>
      <c r="BE27" s="572">
        <f t="shared" si="19"/>
        <v>0</v>
      </c>
      <c r="BF27" s="572">
        <f t="shared" si="19"/>
        <v>0</v>
      </c>
      <c r="BG27" s="572">
        <f t="shared" si="19"/>
        <v>0</v>
      </c>
      <c r="BH27" s="572">
        <f t="shared" si="19"/>
        <v>0</v>
      </c>
      <c r="BI27" s="8"/>
      <c r="BJ27" s="8"/>
      <c r="BK27" s="8"/>
      <c r="BL27" s="8"/>
      <c r="BM27" s="8"/>
      <c r="BN27" s="8"/>
      <c r="BO27" s="8"/>
      <c r="BP27" s="8"/>
      <c r="BQ27" s="8"/>
      <c r="BR27" s="8"/>
      <c r="BS27" s="8"/>
      <c r="BT27" s="8"/>
      <c r="BU27" s="8"/>
      <c r="BV27" s="8"/>
      <c r="BW27" s="8"/>
      <c r="BX27" s="8"/>
      <c r="BY27" s="8"/>
      <c r="BZ27" s="8"/>
      <c r="CA27" s="8"/>
      <c r="CB27" s="8"/>
      <c r="CC27" s="8"/>
      <c r="CD27" s="8"/>
      <c r="CE27" s="8"/>
    </row>
    <row r="28" spans="1:83" x14ac:dyDescent="0.25">
      <c r="A28" s="134" t="s">
        <v>94</v>
      </c>
      <c r="B28" s="145">
        <v>5.5</v>
      </c>
      <c r="C28" s="157">
        <v>2.0099999999999998</v>
      </c>
      <c r="D28" s="158">
        <v>2.0099999999999998</v>
      </c>
      <c r="E28" s="159">
        <v>2.0299999999999998</v>
      </c>
      <c r="H28" s="565" t="s">
        <v>84</v>
      </c>
      <c r="I28" s="560"/>
      <c r="J28" s="561"/>
      <c r="K28" s="561"/>
      <c r="L28" s="561"/>
      <c r="M28" s="561"/>
      <c r="N28" s="561"/>
      <c r="O28" s="561"/>
      <c r="P28" s="561"/>
      <c r="Q28" s="561"/>
      <c r="R28" s="561"/>
      <c r="S28" s="561"/>
      <c r="T28" s="561"/>
      <c r="U28" s="561"/>
      <c r="V28" s="561"/>
      <c r="W28" s="561"/>
      <c r="X28" s="561"/>
      <c r="Y28" s="561"/>
      <c r="Z28" s="561"/>
      <c r="AA28" s="561"/>
      <c r="AB28" s="561"/>
      <c r="AC28" s="561"/>
      <c r="AD28" s="561"/>
      <c r="AE28" s="561"/>
      <c r="AF28" s="561"/>
      <c r="AG28" s="561"/>
      <c r="AH28" s="561"/>
      <c r="AI28" s="561"/>
      <c r="AJ28" s="561"/>
      <c r="AK28" s="561"/>
      <c r="AL28" s="561"/>
      <c r="AM28" s="561"/>
      <c r="AN28" s="561"/>
      <c r="AO28" s="561"/>
      <c r="AP28" s="561"/>
      <c r="AQ28" s="561"/>
      <c r="AR28" s="561"/>
      <c r="AS28" s="561"/>
      <c r="AT28" s="561"/>
      <c r="AU28" s="561"/>
      <c r="AV28" s="561"/>
      <c r="AW28" s="561"/>
      <c r="AX28" s="561"/>
      <c r="AY28" s="561"/>
      <c r="AZ28" s="561"/>
      <c r="BA28" s="561"/>
      <c r="BB28" s="561"/>
      <c r="BC28" s="561"/>
      <c r="BD28" s="561"/>
      <c r="BE28" s="561"/>
      <c r="BF28" s="561"/>
      <c r="BG28" s="561"/>
      <c r="BH28" s="561"/>
      <c r="BI28" s="8"/>
      <c r="BJ28" s="8"/>
      <c r="BK28" s="8"/>
      <c r="BL28" s="8"/>
      <c r="BM28" s="8"/>
      <c r="BN28" s="8"/>
      <c r="BO28" s="8"/>
      <c r="BP28" s="8"/>
      <c r="BQ28" s="8"/>
      <c r="BR28" s="8"/>
      <c r="BS28" s="8"/>
      <c r="BT28" s="8"/>
      <c r="BU28" s="8"/>
      <c r="BV28" s="8"/>
      <c r="BW28" s="8"/>
      <c r="BX28" s="8"/>
      <c r="BY28" s="8"/>
      <c r="BZ28" s="8"/>
      <c r="CA28" s="8"/>
      <c r="CB28" s="8"/>
      <c r="CC28" s="8"/>
      <c r="CD28" s="8"/>
      <c r="CE28" s="8"/>
    </row>
    <row r="29" spans="1:83" x14ac:dyDescent="0.25">
      <c r="A29" s="134" t="s">
        <v>95</v>
      </c>
      <c r="B29" s="145">
        <v>6</v>
      </c>
      <c r="C29" s="157">
        <v>2.0099999999999998</v>
      </c>
      <c r="D29" s="158">
        <v>2.0099999999999998</v>
      </c>
      <c r="E29" s="159">
        <v>2.04</v>
      </c>
      <c r="H29" s="570" t="s">
        <v>190</v>
      </c>
      <c r="I29" s="571"/>
      <c r="J29" s="571"/>
      <c r="K29" s="572">
        <f>K23</f>
        <v>0</v>
      </c>
      <c r="L29" s="572">
        <f t="shared" ref="L29:AQ29" si="20">K33</f>
        <v>0</v>
      </c>
      <c r="M29" s="572">
        <f t="shared" si="20"/>
        <v>0</v>
      </c>
      <c r="N29" s="572">
        <f t="shared" si="20"/>
        <v>0</v>
      </c>
      <c r="O29" s="572">
        <f t="shared" si="20"/>
        <v>0</v>
      </c>
      <c r="P29" s="572">
        <f t="shared" si="20"/>
        <v>0</v>
      </c>
      <c r="Q29" s="572">
        <f t="shared" si="20"/>
        <v>0</v>
      </c>
      <c r="R29" s="572">
        <f t="shared" si="20"/>
        <v>0</v>
      </c>
      <c r="S29" s="572">
        <f t="shared" si="20"/>
        <v>0</v>
      </c>
      <c r="T29" s="572">
        <f t="shared" si="20"/>
        <v>0</v>
      </c>
      <c r="U29" s="572">
        <f t="shared" si="20"/>
        <v>0</v>
      </c>
      <c r="V29" s="572">
        <f t="shared" si="20"/>
        <v>0</v>
      </c>
      <c r="W29" s="572">
        <f t="shared" si="20"/>
        <v>0</v>
      </c>
      <c r="X29" s="572">
        <f t="shared" si="20"/>
        <v>0</v>
      </c>
      <c r="Y29" s="572">
        <f t="shared" si="20"/>
        <v>0</v>
      </c>
      <c r="Z29" s="572">
        <f t="shared" si="20"/>
        <v>0</v>
      </c>
      <c r="AA29" s="572">
        <f t="shared" si="20"/>
        <v>0</v>
      </c>
      <c r="AB29" s="572">
        <f t="shared" si="20"/>
        <v>0</v>
      </c>
      <c r="AC29" s="572">
        <f t="shared" si="20"/>
        <v>0</v>
      </c>
      <c r="AD29" s="572">
        <f t="shared" si="20"/>
        <v>0</v>
      </c>
      <c r="AE29" s="572">
        <f t="shared" si="20"/>
        <v>0</v>
      </c>
      <c r="AF29" s="572">
        <f t="shared" si="20"/>
        <v>0</v>
      </c>
      <c r="AG29" s="572">
        <f t="shared" si="20"/>
        <v>0</v>
      </c>
      <c r="AH29" s="572">
        <f t="shared" si="20"/>
        <v>0</v>
      </c>
      <c r="AI29" s="572">
        <f t="shared" si="20"/>
        <v>0</v>
      </c>
      <c r="AJ29" s="572">
        <f t="shared" si="20"/>
        <v>0</v>
      </c>
      <c r="AK29" s="572">
        <f t="shared" si="20"/>
        <v>0</v>
      </c>
      <c r="AL29" s="572">
        <f t="shared" si="20"/>
        <v>0</v>
      </c>
      <c r="AM29" s="572">
        <f t="shared" si="20"/>
        <v>0</v>
      </c>
      <c r="AN29" s="572">
        <f t="shared" si="20"/>
        <v>0</v>
      </c>
      <c r="AO29" s="572">
        <f t="shared" si="20"/>
        <v>0</v>
      </c>
      <c r="AP29" s="572">
        <f t="shared" si="20"/>
        <v>0</v>
      </c>
      <c r="AQ29" s="572">
        <f t="shared" si="20"/>
        <v>0</v>
      </c>
      <c r="AR29" s="572">
        <f t="shared" ref="AR29:BH29" si="21">AQ33</f>
        <v>0</v>
      </c>
      <c r="AS29" s="572">
        <f t="shared" si="21"/>
        <v>0</v>
      </c>
      <c r="AT29" s="572">
        <f t="shared" si="21"/>
        <v>0</v>
      </c>
      <c r="AU29" s="572">
        <f t="shared" si="21"/>
        <v>0</v>
      </c>
      <c r="AV29" s="572">
        <f t="shared" si="21"/>
        <v>0</v>
      </c>
      <c r="AW29" s="572">
        <f t="shared" si="21"/>
        <v>0</v>
      </c>
      <c r="AX29" s="572">
        <f t="shared" si="21"/>
        <v>0</v>
      </c>
      <c r="AY29" s="572">
        <f t="shared" si="21"/>
        <v>0</v>
      </c>
      <c r="AZ29" s="572">
        <f t="shared" si="21"/>
        <v>0</v>
      </c>
      <c r="BA29" s="572">
        <f t="shared" si="21"/>
        <v>0</v>
      </c>
      <c r="BB29" s="572">
        <f t="shared" si="21"/>
        <v>0</v>
      </c>
      <c r="BC29" s="572">
        <f t="shared" si="21"/>
        <v>0</v>
      </c>
      <c r="BD29" s="572">
        <f t="shared" si="21"/>
        <v>0</v>
      </c>
      <c r="BE29" s="572">
        <f t="shared" si="21"/>
        <v>0</v>
      </c>
      <c r="BF29" s="572">
        <f t="shared" si="21"/>
        <v>0</v>
      </c>
      <c r="BG29" s="572">
        <f t="shared" si="21"/>
        <v>0</v>
      </c>
      <c r="BH29" s="572">
        <f t="shared" si="21"/>
        <v>0</v>
      </c>
      <c r="BI29" s="8"/>
      <c r="BJ29" s="8"/>
      <c r="BK29" s="8"/>
      <c r="BL29" s="8"/>
      <c r="BM29" s="8"/>
      <c r="BN29" s="8"/>
      <c r="BO29" s="8"/>
      <c r="BP29" s="8"/>
      <c r="BQ29" s="8"/>
      <c r="BR29" s="8"/>
      <c r="BS29" s="8"/>
      <c r="BT29" s="8"/>
      <c r="BU29" s="8"/>
      <c r="BV29" s="8"/>
      <c r="BW29" s="8"/>
      <c r="BX29" s="8"/>
      <c r="BY29" s="8"/>
      <c r="BZ29" s="8"/>
      <c r="CA29" s="8"/>
      <c r="CB29" s="8"/>
      <c r="CC29" s="8"/>
      <c r="CD29" s="8"/>
      <c r="CE29" s="8"/>
    </row>
    <row r="30" spans="1:83" x14ac:dyDescent="0.25">
      <c r="A30" s="134" t="s">
        <v>96</v>
      </c>
      <c r="B30" s="145">
        <v>6.5</v>
      </c>
      <c r="C30" s="157">
        <v>2.0099999999999998</v>
      </c>
      <c r="D30" s="158">
        <v>2.0099999999999998</v>
      </c>
      <c r="E30" s="159">
        <v>2.06</v>
      </c>
      <c r="H30" s="570" t="s">
        <v>191</v>
      </c>
      <c r="I30" s="571"/>
      <c r="J30" s="571"/>
      <c r="K30" s="572">
        <f>IFERROR(-IPMT('Loan Rates'!$B$11,'Cash Flow Model'!D6,'Loan Rates'!$B$7,'Loan Rates'!$K$29),0)</f>
        <v>0</v>
      </c>
      <c r="L30" s="572">
        <f>IF(K33&gt;1,-IPMT('Loan Rates'!$B$11,'Cash Flow Model'!E6,'Loan Rates'!$B$7,'Loan Rates'!$K$29),0)</f>
        <v>0</v>
      </c>
      <c r="M30" s="572">
        <f>IF(L33&gt;1,-IPMT('Loan Rates'!$B$11,'Cash Flow Model'!F6,'Loan Rates'!$B$7,'Loan Rates'!$K$29),0)</f>
        <v>0</v>
      </c>
      <c r="N30" s="572">
        <f>IF(M33&gt;1,-IPMT('Loan Rates'!$B$11,'Cash Flow Model'!G6,'Loan Rates'!$B$7,'Loan Rates'!$K$29),0)</f>
        <v>0</v>
      </c>
      <c r="O30" s="572">
        <f>IF(N33&gt;1,-IPMT('Loan Rates'!$B$11,'Cash Flow Model'!H6,'Loan Rates'!$B$7,'Loan Rates'!$K$29),0)</f>
        <v>0</v>
      </c>
      <c r="P30" s="572">
        <f>IF(O33&gt;1,-IPMT('Loan Rates'!$B$11,'Cash Flow Model'!I6,'Loan Rates'!$B$7,'Loan Rates'!$K$29),0)</f>
        <v>0</v>
      </c>
      <c r="Q30" s="572">
        <f>IF(P33&gt;1,-IPMT('Loan Rates'!$B$11,'Cash Flow Model'!J6,'Loan Rates'!$B$7,'Loan Rates'!$K$29),0)</f>
        <v>0</v>
      </c>
      <c r="R30" s="572">
        <f>IF(Q33&gt;1,-IPMT('Loan Rates'!$B$11,'Cash Flow Model'!K6,'Loan Rates'!$B$7,'Loan Rates'!$K$29),0)</f>
        <v>0</v>
      </c>
      <c r="S30" s="572">
        <f>IF(R33&gt;1,-IPMT('Loan Rates'!$B$11,'Cash Flow Model'!L6,'Loan Rates'!$B$7,'Loan Rates'!$K$29),0)</f>
        <v>0</v>
      </c>
      <c r="T30" s="572">
        <f>IF(S33&gt;1,-IPMT('Loan Rates'!$B$11,'Cash Flow Model'!M6,'Loan Rates'!$B$7,'Loan Rates'!$K$29),0)</f>
        <v>0</v>
      </c>
      <c r="U30" s="572">
        <f>IF(T33&gt;1,-IPMT('Loan Rates'!$B$11,'Cash Flow Model'!N6,'Loan Rates'!$B$7,'Loan Rates'!$K$29),0)</f>
        <v>0</v>
      </c>
      <c r="V30" s="572">
        <f>IF(U33&gt;1,-IPMT('Loan Rates'!$B$11,'Cash Flow Model'!O6,'Loan Rates'!$B$7,'Loan Rates'!$K$29),0)</f>
        <v>0</v>
      </c>
      <c r="W30" s="572">
        <f>IF(V33&gt;1,-IPMT('Loan Rates'!$B$11,'Cash Flow Model'!P6,'Loan Rates'!$B$7,'Loan Rates'!$K$29),0)</f>
        <v>0</v>
      </c>
      <c r="X30" s="572">
        <f>IF(W33&gt;1,-IPMT('Loan Rates'!$B$11,'Cash Flow Model'!Q6,'Loan Rates'!$B$7,'Loan Rates'!$K$29),0)</f>
        <v>0</v>
      </c>
      <c r="Y30" s="572">
        <f>IF(X33&gt;1,-IPMT('Loan Rates'!$B$11,'Cash Flow Model'!R6,'Loan Rates'!$B$7,'Loan Rates'!$K$29),0)</f>
        <v>0</v>
      </c>
      <c r="Z30" s="572">
        <f>IF(Y33&gt;1,-IPMT('Loan Rates'!$B$11,'Cash Flow Model'!S6,'Loan Rates'!$B$7,'Loan Rates'!$K$29),0)</f>
        <v>0</v>
      </c>
      <c r="AA30" s="572">
        <f>IF(Z33&gt;1,-IPMT('Loan Rates'!$B$11,'Cash Flow Model'!T6,'Loan Rates'!$B$7,'Loan Rates'!$K$29),0)</f>
        <v>0</v>
      </c>
      <c r="AB30" s="572">
        <f>IF(AA33&gt;1,-IPMT('Loan Rates'!$B$11,'Cash Flow Model'!U6,'Loan Rates'!$B$7,'Loan Rates'!$K$29),0)</f>
        <v>0</v>
      </c>
      <c r="AC30" s="572">
        <f>IF(AB33&gt;1,-IPMT('Loan Rates'!$B$11,'Cash Flow Model'!V6,'Loan Rates'!$B$7,'Loan Rates'!$K$29),0)</f>
        <v>0</v>
      </c>
      <c r="AD30" s="572">
        <f>IF(AC33&gt;1,-IPMT('Loan Rates'!$B$11,'Cash Flow Model'!W6,'Loan Rates'!$B$7,'Loan Rates'!$K$29),0)</f>
        <v>0</v>
      </c>
      <c r="AE30" s="572">
        <f>IF(AD33&gt;1,-IPMT('Loan Rates'!$B$11,'Cash Flow Model'!X6,'Loan Rates'!$B$7,'Loan Rates'!$K$29),0)</f>
        <v>0</v>
      </c>
      <c r="AF30" s="572">
        <f>IF(AE33&gt;1,-IPMT('Loan Rates'!$B$11,'Cash Flow Model'!Y6,'Loan Rates'!$B$7,'Loan Rates'!$K$29),0)</f>
        <v>0</v>
      </c>
      <c r="AG30" s="572">
        <f>IF(AF33&gt;1,-IPMT('Loan Rates'!$B$11,'Cash Flow Model'!Z6,'Loan Rates'!$B$7,'Loan Rates'!$K$29),0)</f>
        <v>0</v>
      </c>
      <c r="AH30" s="572">
        <f>IF(AG33&gt;1,-IPMT('Loan Rates'!$B$11,'Cash Flow Model'!AA6,'Loan Rates'!$B$7,'Loan Rates'!$K$29),0)</f>
        <v>0</v>
      </c>
      <c r="AI30" s="572">
        <f>IF(AH33&gt;1,-IPMT('Loan Rates'!$B$11,'Cash Flow Model'!AB6,'Loan Rates'!$B$7,'Loan Rates'!$K$29),0)</f>
        <v>0</v>
      </c>
      <c r="AJ30" s="572">
        <f>IF(AI33&gt;1,-IPMT('Loan Rates'!$B$11,'Cash Flow Model'!AC6,'Loan Rates'!$B$7,'Loan Rates'!$K$29),0)</f>
        <v>0</v>
      </c>
      <c r="AK30" s="572">
        <f>IF(AJ33&gt;1,-IPMT('Loan Rates'!$B$11,'Cash Flow Model'!AD6,'Loan Rates'!$B$7,'Loan Rates'!$K$29),0)</f>
        <v>0</v>
      </c>
      <c r="AL30" s="572">
        <f>IF(AK33&gt;1,-IPMT('Loan Rates'!$B$11,'Cash Flow Model'!AE6,'Loan Rates'!$B$7,'Loan Rates'!$K$29),0)</f>
        <v>0</v>
      </c>
      <c r="AM30" s="572">
        <f>IF(AL33&gt;1,-IPMT('Loan Rates'!$B$11,'Cash Flow Model'!AF6,'Loan Rates'!$B$7,'Loan Rates'!$K$29),0)</f>
        <v>0</v>
      </c>
      <c r="AN30" s="572">
        <f>IF(AM33&gt;1,-IPMT('Loan Rates'!$B$11,'Cash Flow Model'!AG6,'Loan Rates'!$B$7,'Loan Rates'!$K$29),0)</f>
        <v>0</v>
      </c>
      <c r="AO30" s="572">
        <f>IF(AN33&gt;1,-IPMT('Loan Rates'!$B$11,'Cash Flow Model'!AH6,'Loan Rates'!$B$7,'Loan Rates'!$K$29),0)</f>
        <v>0</v>
      </c>
      <c r="AP30" s="572">
        <f>IF(AO33&gt;1,-IPMT('Loan Rates'!$B$11,'Cash Flow Model'!AI6,'Loan Rates'!$B$7,'Loan Rates'!$K$29),0)</f>
        <v>0</v>
      </c>
      <c r="AQ30" s="572">
        <f>IF(AP33&gt;1,-IPMT('Loan Rates'!$B$11,'Cash Flow Model'!AJ6,'Loan Rates'!$B$7,'Loan Rates'!$K$29),0)</f>
        <v>0</v>
      </c>
      <c r="AR30" s="572">
        <f>IF(AQ33&gt;1,-IPMT('Loan Rates'!$B$11,'Cash Flow Model'!AK6,'Loan Rates'!$B$7,'Loan Rates'!$K$29),0)</f>
        <v>0</v>
      </c>
      <c r="AS30" s="572">
        <f>IF(AR33&gt;1,-IPMT('Loan Rates'!$B$11,'Cash Flow Model'!AL6,'Loan Rates'!$B$7,'Loan Rates'!$K$29),0)</f>
        <v>0</v>
      </c>
      <c r="AT30" s="572">
        <f>IF(AS33&gt;1,-IPMT('Loan Rates'!$B$11,'Cash Flow Model'!AM6,'Loan Rates'!$B$7,'Loan Rates'!$K$29),0)</f>
        <v>0</v>
      </c>
      <c r="AU30" s="572">
        <f>IF(AT33&gt;1,-IPMT('Loan Rates'!$B$11,'Cash Flow Model'!AN6,'Loan Rates'!$B$7,'Loan Rates'!$K$29),0)</f>
        <v>0</v>
      </c>
      <c r="AV30" s="572">
        <f>IF(AU33&gt;1,-IPMT('Loan Rates'!$B$11,'Cash Flow Model'!AO6,'Loan Rates'!$B$7,'Loan Rates'!$K$29),0)</f>
        <v>0</v>
      </c>
      <c r="AW30" s="572">
        <f>IF(AV33&gt;1,-IPMT('Loan Rates'!$B$11,'Cash Flow Model'!AP6,'Loan Rates'!$B$7,'Loan Rates'!$K$29),0)</f>
        <v>0</v>
      </c>
      <c r="AX30" s="572">
        <f>IF(AW33&gt;1,-IPMT('Loan Rates'!$B$11,'Cash Flow Model'!AQ6,'Loan Rates'!$B$7,'Loan Rates'!$K$29),0)</f>
        <v>0</v>
      </c>
      <c r="AY30" s="572">
        <f>IF(AX33&gt;1,-IPMT('Loan Rates'!$B$11,'Cash Flow Model'!AR6,'Loan Rates'!$B$7,'Loan Rates'!$K$29),0)</f>
        <v>0</v>
      </c>
      <c r="AZ30" s="572">
        <f>IF(AY33&gt;1,-IPMT('Loan Rates'!$B$11,'Cash Flow Model'!AS6,'Loan Rates'!$B$7,'Loan Rates'!$K$29),0)</f>
        <v>0</v>
      </c>
      <c r="BA30" s="572">
        <f>IF(AZ33&gt;1,-IPMT('Loan Rates'!$B$11,'Cash Flow Model'!AT6,'Loan Rates'!$B$7,'Loan Rates'!$K$29),0)</f>
        <v>0</v>
      </c>
      <c r="BB30" s="572">
        <f>IF(BA33&gt;1,-IPMT('Loan Rates'!$B$11,'Cash Flow Model'!AU6,'Loan Rates'!$B$7,'Loan Rates'!$K$29),0)</f>
        <v>0</v>
      </c>
      <c r="BC30" s="572">
        <f>IF(BB33&gt;1,-IPMT('Loan Rates'!$B$11,'Cash Flow Model'!AV6,'Loan Rates'!$B$7,'Loan Rates'!$K$29),0)</f>
        <v>0</v>
      </c>
      <c r="BD30" s="572">
        <f>IF(BC33&gt;1,-IPMT('Loan Rates'!$B$11,'Cash Flow Model'!AW6,'Loan Rates'!$B$7,'Loan Rates'!$K$29),0)</f>
        <v>0</v>
      </c>
      <c r="BE30" s="572">
        <f>IF(BD33&gt;1,-IPMT('Loan Rates'!$B$11,'Cash Flow Model'!AX6,'Loan Rates'!$B$7,'Loan Rates'!$K$29),0)</f>
        <v>0</v>
      </c>
      <c r="BF30" s="572">
        <f>IF(BE33&gt;1,-IPMT('Loan Rates'!$B$11,'Cash Flow Model'!AY6,'Loan Rates'!$B$7,'Loan Rates'!$K$29),0)</f>
        <v>0</v>
      </c>
      <c r="BG30" s="572">
        <f>IF(BF33&gt;1,-IPMT('Loan Rates'!$B$11,'Cash Flow Model'!AZ6,'Loan Rates'!$B$7,'Loan Rates'!$K$29),0)</f>
        <v>0</v>
      </c>
      <c r="BH30" s="572">
        <f>IF(BG33&gt;1,-IPMT('Loan Rates'!$B$11,'Cash Flow Model'!BA6,'Loan Rates'!$B$7,'Loan Rates'!$K$29),0)</f>
        <v>0</v>
      </c>
      <c r="BI30" s="8"/>
      <c r="BJ30" s="8"/>
      <c r="BK30" s="8"/>
      <c r="BL30" s="8"/>
      <c r="BM30" s="8"/>
      <c r="BN30" s="8"/>
      <c r="BO30" s="8"/>
      <c r="BP30" s="8"/>
      <c r="BQ30" s="8"/>
      <c r="BR30" s="8"/>
      <c r="BS30" s="8"/>
      <c r="BT30" s="8"/>
      <c r="BU30" s="8"/>
      <c r="BV30" s="8"/>
      <c r="BW30" s="8"/>
      <c r="BX30" s="8"/>
      <c r="BY30" s="8"/>
      <c r="BZ30" s="8"/>
      <c r="CA30" s="8"/>
      <c r="CB30" s="8"/>
      <c r="CC30" s="8"/>
      <c r="CD30" s="8"/>
      <c r="CE30" s="8"/>
    </row>
    <row r="31" spans="1:83" x14ac:dyDescent="0.25">
      <c r="A31" s="134" t="s">
        <v>97</v>
      </c>
      <c r="B31" s="145">
        <v>7</v>
      </c>
      <c r="C31" s="157">
        <v>2.0099999999999998</v>
      </c>
      <c r="D31" s="158">
        <v>2.0099999999999998</v>
      </c>
      <c r="E31" s="159">
        <v>2.08</v>
      </c>
      <c r="H31" s="570" t="s">
        <v>192</v>
      </c>
      <c r="I31" s="571"/>
      <c r="J31" s="571"/>
      <c r="K31" s="572">
        <f>IFERROR(-PPMT('Loan Rates'!$B$11,'Cash Flow Model'!D6,'Loan Rates'!$B$7,'Loan Rates'!K29),0)</f>
        <v>0</v>
      </c>
      <c r="L31" s="572">
        <f>IF(K33&gt;1,-PPMT('Loan Rates'!$B$11,'Cash Flow Model'!E6,'Loan Rates'!$B$7,'Loan Rates'!$K$29),0)</f>
        <v>0</v>
      </c>
      <c r="M31" s="572">
        <f>IF(L33&gt;1,-PPMT('Loan Rates'!$B$11,'Cash Flow Model'!F6,'Loan Rates'!$B$7,'Loan Rates'!$K$29),0)</f>
        <v>0</v>
      </c>
      <c r="N31" s="572">
        <f>IF(M33&gt;1,-PPMT('Loan Rates'!$B$11,'Cash Flow Model'!G6,'Loan Rates'!$B$7,'Loan Rates'!$K$29),0)</f>
        <v>0</v>
      </c>
      <c r="O31" s="572">
        <f>IF(N33&gt;1,-PPMT('Loan Rates'!$B$11,'Cash Flow Model'!H6,'Loan Rates'!$B$7,'Loan Rates'!$K$29),0)</f>
        <v>0</v>
      </c>
      <c r="P31" s="572">
        <f>IF(O33&gt;1,-PPMT('Loan Rates'!$B$11,'Cash Flow Model'!I6,'Loan Rates'!$B$7,'Loan Rates'!$K$29),0)</f>
        <v>0</v>
      </c>
      <c r="Q31" s="572">
        <f>IF(P33&gt;1,-PPMT('Loan Rates'!$B$11,'Cash Flow Model'!J6,'Loan Rates'!$B$7,'Loan Rates'!$K$29),0)</f>
        <v>0</v>
      </c>
      <c r="R31" s="572">
        <f>IF(Q33&gt;1,-PPMT('Loan Rates'!$B$11,'Cash Flow Model'!K6,'Loan Rates'!$B$7,'Loan Rates'!$K$29),0)</f>
        <v>0</v>
      </c>
      <c r="S31" s="572">
        <f>IF(R33&gt;1,-PPMT('Loan Rates'!$B$11,'Cash Flow Model'!L6,'Loan Rates'!$B$7,'Loan Rates'!$K$29),0)</f>
        <v>0</v>
      </c>
      <c r="T31" s="572">
        <f>IF(S33&gt;1,-PPMT('Loan Rates'!$B$11,'Cash Flow Model'!M6,'Loan Rates'!$B$7,'Loan Rates'!$K$29),0)</f>
        <v>0</v>
      </c>
      <c r="U31" s="572">
        <f>IF(T33&gt;1,-PPMT('Loan Rates'!$B$11,'Cash Flow Model'!N6,'Loan Rates'!$B$7,'Loan Rates'!$K$29),0)</f>
        <v>0</v>
      </c>
      <c r="V31" s="572">
        <f>IF(U33&gt;1,-PPMT('Loan Rates'!$B$11,'Cash Flow Model'!O6,'Loan Rates'!$B$7,'Loan Rates'!$K$29),0)</f>
        <v>0</v>
      </c>
      <c r="W31" s="572">
        <f>IF(V33&gt;1,-PPMT('Loan Rates'!$B$11,'Cash Flow Model'!P6,'Loan Rates'!$B$7,'Loan Rates'!$K$29),0)</f>
        <v>0</v>
      </c>
      <c r="X31" s="572">
        <f>IF(W33&gt;1,-PPMT('Loan Rates'!$B$11,'Cash Flow Model'!Q6,'Loan Rates'!$B$7,'Loan Rates'!$K$29),0)</f>
        <v>0</v>
      </c>
      <c r="Y31" s="572">
        <f>IF(X33&gt;1,-PPMT('Loan Rates'!$B$11,'Cash Flow Model'!R6,'Loan Rates'!$B$7,'Loan Rates'!$K$29),0)</f>
        <v>0</v>
      </c>
      <c r="Z31" s="572">
        <f>IF(Y33&gt;1,-PPMT('Loan Rates'!$B$11,'Cash Flow Model'!S6,'Loan Rates'!$B$7,'Loan Rates'!$K$29),0)</f>
        <v>0</v>
      </c>
      <c r="AA31" s="572">
        <f>IF(Z33&gt;1,-PPMT('Loan Rates'!$B$11,'Cash Flow Model'!T6,'Loan Rates'!$B$7,'Loan Rates'!$K$29),0)</f>
        <v>0</v>
      </c>
      <c r="AB31" s="572">
        <f>IF(AA33&gt;1,-PPMT('Loan Rates'!$B$11,'Cash Flow Model'!U6,'Loan Rates'!$B$7,'Loan Rates'!$K$29),0)</f>
        <v>0</v>
      </c>
      <c r="AC31" s="572">
        <f>IF(AB33&gt;1,-PPMT('Loan Rates'!$B$11,'Cash Flow Model'!V6,'Loan Rates'!$B$7,'Loan Rates'!$K$29),0)</f>
        <v>0</v>
      </c>
      <c r="AD31" s="572">
        <f>IF(AC33&gt;1,-PPMT('Loan Rates'!$B$11,'Cash Flow Model'!W6,'Loan Rates'!$B$7,'Loan Rates'!$K$29),0)</f>
        <v>0</v>
      </c>
      <c r="AE31" s="572">
        <f>IF(AD33&gt;1,-PPMT('Loan Rates'!$B$11,'Cash Flow Model'!X6,'Loan Rates'!$B$7,'Loan Rates'!$K$29),0)</f>
        <v>0</v>
      </c>
      <c r="AF31" s="572">
        <f>IF(AE33&gt;1,-PPMT('Loan Rates'!$B$11,'Cash Flow Model'!Y6,'Loan Rates'!$B$7,'Loan Rates'!$K$29),0)</f>
        <v>0</v>
      </c>
      <c r="AG31" s="572">
        <f>IF(AF33&gt;1,-PPMT('Loan Rates'!$B$11,'Cash Flow Model'!Z6,'Loan Rates'!$B$7,'Loan Rates'!$K$29),0)</f>
        <v>0</v>
      </c>
      <c r="AH31" s="572">
        <f>IF(AG33&gt;1,-PPMT('Loan Rates'!$B$11,'Cash Flow Model'!AA6,'Loan Rates'!$B$7,'Loan Rates'!$K$29),0)</f>
        <v>0</v>
      </c>
      <c r="AI31" s="572">
        <f>IF(AH33&gt;1,-PPMT('Loan Rates'!$B$11,'Cash Flow Model'!AB6,'Loan Rates'!$B$7,'Loan Rates'!$K$29),0)</f>
        <v>0</v>
      </c>
      <c r="AJ31" s="572">
        <f>IF(AI33&gt;1,-PPMT('Loan Rates'!$B$11,'Cash Flow Model'!AC6,'Loan Rates'!$B$7,'Loan Rates'!$K$29),0)</f>
        <v>0</v>
      </c>
      <c r="AK31" s="572">
        <f>IF(AJ33&gt;1,-PPMT('Loan Rates'!$B$11,'Cash Flow Model'!AD6,'Loan Rates'!$B$7,'Loan Rates'!$K$29),0)</f>
        <v>0</v>
      </c>
      <c r="AL31" s="572">
        <f>IF(AK33&gt;1,-PPMT('Loan Rates'!$B$11,'Cash Flow Model'!AE6,'Loan Rates'!$B$7,'Loan Rates'!$K$29),0)</f>
        <v>0</v>
      </c>
      <c r="AM31" s="572">
        <f>IF(AL33&gt;1,-PPMT('Loan Rates'!$B$11,'Cash Flow Model'!AF6,'Loan Rates'!$B$7,'Loan Rates'!$K$29),0)</f>
        <v>0</v>
      </c>
      <c r="AN31" s="572">
        <f>IF(AM33&gt;1,-PPMT('Loan Rates'!$B$11,'Cash Flow Model'!AG6,'Loan Rates'!$B$7,'Loan Rates'!$K$29),0)</f>
        <v>0</v>
      </c>
      <c r="AO31" s="572">
        <f>IF(AN33&gt;1,-PPMT('Loan Rates'!$B$11,'Cash Flow Model'!AH6,'Loan Rates'!$B$7,'Loan Rates'!$K$29),0)</f>
        <v>0</v>
      </c>
      <c r="AP31" s="572">
        <f>IF(AO33&gt;1,-PPMT('Loan Rates'!$B$11,'Cash Flow Model'!AI6,'Loan Rates'!$B$7,'Loan Rates'!$K$29),0)</f>
        <v>0</v>
      </c>
      <c r="AQ31" s="572">
        <f>IF(AP33&gt;1,-PPMT('Loan Rates'!$B$11,'Cash Flow Model'!AJ6,'Loan Rates'!$B$7,'Loan Rates'!$K$29),0)</f>
        <v>0</v>
      </c>
      <c r="AR31" s="572">
        <f>IF(AQ33&gt;1,-PPMT('Loan Rates'!$B$11,'Cash Flow Model'!AK6,'Loan Rates'!$B$7,'Loan Rates'!$K$29),0)</f>
        <v>0</v>
      </c>
      <c r="AS31" s="572">
        <f>IF(AR33&gt;1,-PPMT('Loan Rates'!$B$11,'Cash Flow Model'!AL6,'Loan Rates'!$B$7,'Loan Rates'!$K$29),0)</f>
        <v>0</v>
      </c>
      <c r="AT31" s="572">
        <f>IF(AS33&gt;1,-PPMT('Loan Rates'!$B$11,'Cash Flow Model'!AM6,'Loan Rates'!$B$7,'Loan Rates'!$K$29),0)</f>
        <v>0</v>
      </c>
      <c r="AU31" s="572">
        <f>IF(AT33&gt;1,-PPMT('Loan Rates'!$B$11,'Cash Flow Model'!AN6,'Loan Rates'!$B$7,'Loan Rates'!$K$29),0)</f>
        <v>0</v>
      </c>
      <c r="AV31" s="572">
        <f>IF(AU33&gt;1,-PPMT('Loan Rates'!$B$11,'Cash Flow Model'!AO6,'Loan Rates'!$B$7,'Loan Rates'!$K$29),0)</f>
        <v>0</v>
      </c>
      <c r="AW31" s="572">
        <f>IF(AV33&gt;1,-PPMT('Loan Rates'!$B$11,'Cash Flow Model'!AP6,'Loan Rates'!$B$7,'Loan Rates'!$K$29),0)</f>
        <v>0</v>
      </c>
      <c r="AX31" s="572">
        <f>IF(AW33&gt;1,-PPMT('Loan Rates'!$B$11,'Cash Flow Model'!AQ6,'Loan Rates'!$B$7,'Loan Rates'!$K$29),0)</f>
        <v>0</v>
      </c>
      <c r="AY31" s="572">
        <f>IF(AX33&gt;1,-PPMT('Loan Rates'!$B$11,'Cash Flow Model'!AR6,'Loan Rates'!$B$7,'Loan Rates'!$K$29),0)</f>
        <v>0</v>
      </c>
      <c r="AZ31" s="572">
        <f>IF(AY33&gt;1,-PPMT('Loan Rates'!$B$11,'Cash Flow Model'!AS6,'Loan Rates'!$B$7,'Loan Rates'!$K$29),0)</f>
        <v>0</v>
      </c>
      <c r="BA31" s="572">
        <f>IF(AZ33&gt;1,-PPMT('Loan Rates'!$B$11,'Cash Flow Model'!AT6,'Loan Rates'!$B$7,'Loan Rates'!$K$29),0)</f>
        <v>0</v>
      </c>
      <c r="BB31" s="572">
        <f>IF(BA33&gt;1,-PPMT('Loan Rates'!$B$11,'Cash Flow Model'!AU6,'Loan Rates'!$B$7,'Loan Rates'!$K$29),0)</f>
        <v>0</v>
      </c>
      <c r="BC31" s="572">
        <f>IF(BB33&gt;1,-PPMT('Loan Rates'!$B$11,'Cash Flow Model'!AV6,'Loan Rates'!$B$7,'Loan Rates'!$K$29),0)</f>
        <v>0</v>
      </c>
      <c r="BD31" s="572">
        <f>IF(BC33&gt;1,-PPMT('Loan Rates'!$B$11,'Cash Flow Model'!AW6,'Loan Rates'!$B$7,'Loan Rates'!$K$29),0)</f>
        <v>0</v>
      </c>
      <c r="BE31" s="572">
        <f>IF(BD33&gt;1,-PPMT('Loan Rates'!$B$11,'Cash Flow Model'!AX6,'Loan Rates'!$B$7,'Loan Rates'!$K$29),0)</f>
        <v>0</v>
      </c>
      <c r="BF31" s="572">
        <f>IF(BE33&gt;1,-PPMT('Loan Rates'!$B$11,'Cash Flow Model'!AY6,'Loan Rates'!$B$7,'Loan Rates'!$K$29),0)</f>
        <v>0</v>
      </c>
      <c r="BG31" s="572">
        <f>IF(BF33&gt;1,-PPMT('Loan Rates'!$B$11,'Cash Flow Model'!AZ6,'Loan Rates'!$B$7,'Loan Rates'!$K$29),0)</f>
        <v>0</v>
      </c>
      <c r="BH31" s="572">
        <f>IF(BG33&gt;1,-PPMT('Loan Rates'!$B$11,'Cash Flow Model'!BA6,'Loan Rates'!$B$7,'Loan Rates'!$K$29),0)</f>
        <v>0</v>
      </c>
      <c r="BI31" s="8"/>
      <c r="BJ31" s="8"/>
      <c r="BK31" s="8"/>
      <c r="BL31" s="8"/>
      <c r="BM31" s="8"/>
      <c r="BN31" s="8"/>
      <c r="BO31" s="8"/>
      <c r="BP31" s="8"/>
      <c r="BQ31" s="8"/>
      <c r="BR31" s="8"/>
      <c r="BS31" s="8"/>
      <c r="BT31" s="8"/>
      <c r="BU31" s="8"/>
      <c r="BV31" s="8"/>
      <c r="BW31" s="8"/>
      <c r="BX31" s="8"/>
      <c r="BY31" s="8"/>
      <c r="BZ31" s="8"/>
      <c r="CA31" s="8"/>
      <c r="CB31" s="8"/>
      <c r="CC31" s="8"/>
      <c r="CD31" s="8"/>
      <c r="CE31" s="8"/>
    </row>
    <row r="32" spans="1:83" x14ac:dyDescent="0.25">
      <c r="A32" s="134" t="s">
        <v>98</v>
      </c>
      <c r="B32" s="145">
        <v>7.5</v>
      </c>
      <c r="C32" s="157">
        <v>2.0099999999999998</v>
      </c>
      <c r="D32" s="158">
        <v>2.0099999999999998</v>
      </c>
      <c r="E32" s="159">
        <v>2.1</v>
      </c>
      <c r="H32" s="570" t="s">
        <v>193</v>
      </c>
      <c r="I32" s="571"/>
      <c r="J32" s="571"/>
      <c r="K32" s="572">
        <f>IFERROR(PMT('Loan Rates'!$B$11,'Loan Rates'!$B$7,-1*'Loan Rates'!$K$29),0)</f>
        <v>0</v>
      </c>
      <c r="L32" s="572">
        <f>IF(K33&gt;1,PMT('Loan Rates'!$B$11,'Loan Rates'!$B$7,-1*'Loan Rates'!$K$29),0)</f>
        <v>0</v>
      </c>
      <c r="M32" s="572">
        <f>IF(L33&gt;1,PMT('Loan Rates'!$B$11,'Loan Rates'!$B$7,-1*'Loan Rates'!$K$29),0)</f>
        <v>0</v>
      </c>
      <c r="N32" s="572">
        <f>IF(M33&gt;1,PMT('Loan Rates'!$B$11,'Loan Rates'!$B$7,-1*'Loan Rates'!$K$29),0)</f>
        <v>0</v>
      </c>
      <c r="O32" s="572">
        <f>IF(N33&gt;1,PMT('Loan Rates'!$B$11,'Loan Rates'!$B$7,-1*'Loan Rates'!$K$29),0)</f>
        <v>0</v>
      </c>
      <c r="P32" s="572">
        <f>IF(O33&gt;1,PMT('Loan Rates'!$B$11,'Loan Rates'!$B$7,-1*'Loan Rates'!$K$29),0)</f>
        <v>0</v>
      </c>
      <c r="Q32" s="572">
        <f>IF(P33&gt;1,PMT('Loan Rates'!$B$11,'Loan Rates'!$B$7,-1*'Loan Rates'!$K$29),0)</f>
        <v>0</v>
      </c>
      <c r="R32" s="572">
        <f>IF(Q33&gt;1,PMT('Loan Rates'!$B$11,'Loan Rates'!$B$7,-1*'Loan Rates'!$K$29),0)</f>
        <v>0</v>
      </c>
      <c r="S32" s="572">
        <f>IF(R33&gt;1,PMT('Loan Rates'!$B$11,'Loan Rates'!$B$7,-1*'Loan Rates'!$K$29),0)</f>
        <v>0</v>
      </c>
      <c r="T32" s="572">
        <f>IF(S33&gt;1,PMT('Loan Rates'!$B$11,'Loan Rates'!$B$7,-1*'Loan Rates'!$K$29),0)</f>
        <v>0</v>
      </c>
      <c r="U32" s="572">
        <f>IF(T33&gt;1,PMT('Loan Rates'!$B$11,'Loan Rates'!$B$7,-1*'Loan Rates'!$K$29),0)</f>
        <v>0</v>
      </c>
      <c r="V32" s="572">
        <f>IF(U33&gt;1,PMT('Loan Rates'!$B$11,'Loan Rates'!$B$7,-1*'Loan Rates'!$K$29),0)</f>
        <v>0</v>
      </c>
      <c r="W32" s="572">
        <f>IF(V33&gt;1,PMT('Loan Rates'!$B$11,'Loan Rates'!$B$7,-1*'Loan Rates'!$K$29),0)</f>
        <v>0</v>
      </c>
      <c r="X32" s="572">
        <f>IF(W33&gt;1,PMT('Loan Rates'!$B$11,'Loan Rates'!$B$7,-1*'Loan Rates'!$K$29),0)</f>
        <v>0</v>
      </c>
      <c r="Y32" s="572">
        <f>IF(X33&gt;1,PMT('Loan Rates'!$B$11,'Loan Rates'!$B$7,-1*'Loan Rates'!$K$29),0)</f>
        <v>0</v>
      </c>
      <c r="Z32" s="572">
        <f>IF(Y33&gt;1,PMT('Loan Rates'!$B$11,'Loan Rates'!$B$7,-1*'Loan Rates'!$K$29),0)</f>
        <v>0</v>
      </c>
      <c r="AA32" s="572">
        <f>IF(Z33&gt;1,PMT('Loan Rates'!$B$11,'Loan Rates'!$B$7,-1*'Loan Rates'!$K$29),0)</f>
        <v>0</v>
      </c>
      <c r="AB32" s="572">
        <f>IF(AA33&gt;1,PMT('Loan Rates'!$B$11,'Loan Rates'!$B$7,-1*'Loan Rates'!$K$29),0)</f>
        <v>0</v>
      </c>
      <c r="AC32" s="572">
        <f>IF(AB33&gt;1,PMT('Loan Rates'!$B$11,'Loan Rates'!$B$7,-1*'Loan Rates'!$K$29),0)</f>
        <v>0</v>
      </c>
      <c r="AD32" s="572">
        <f>IF(AC33&gt;1,PMT('Loan Rates'!$B$11,'Loan Rates'!$B$7,-1*'Loan Rates'!$K$29),0)</f>
        <v>0</v>
      </c>
      <c r="AE32" s="572">
        <f>IF(AD33&gt;1,PMT('Loan Rates'!$B$11,'Loan Rates'!$B$7,-1*'Loan Rates'!$K$29),0)</f>
        <v>0</v>
      </c>
      <c r="AF32" s="572">
        <f>IF(AE33&gt;1,PMT('Loan Rates'!$B$11,'Loan Rates'!$B$7,-1*'Loan Rates'!$K$29),0)</f>
        <v>0</v>
      </c>
      <c r="AG32" s="572">
        <f>IF(AF33&gt;1,PMT('Loan Rates'!$B$11,'Loan Rates'!$B$7,-1*'Loan Rates'!$K$29),0)</f>
        <v>0</v>
      </c>
      <c r="AH32" s="572">
        <f>IF(AG33&gt;1,PMT('Loan Rates'!$B$11,'Loan Rates'!$B$7,-1*'Loan Rates'!$K$29),0)</f>
        <v>0</v>
      </c>
      <c r="AI32" s="572">
        <f>IF(AH33&gt;1,PMT('Loan Rates'!$B$11,'Loan Rates'!$B$7,-1*'Loan Rates'!$K$29),0)</f>
        <v>0</v>
      </c>
      <c r="AJ32" s="572">
        <f>IF(AI33&gt;1,PMT('Loan Rates'!$B$11,'Loan Rates'!$B$7,-1*'Loan Rates'!$K$29),0)</f>
        <v>0</v>
      </c>
      <c r="AK32" s="572">
        <f>IF(AJ33&gt;1,PMT('Loan Rates'!$B$11,'Loan Rates'!$B$7,-1*'Loan Rates'!$K$29),0)</f>
        <v>0</v>
      </c>
      <c r="AL32" s="572">
        <f>IF(AK33&gt;1,PMT('Loan Rates'!$B$11,'Loan Rates'!$B$7,-1*'Loan Rates'!$K$29),0)</f>
        <v>0</v>
      </c>
      <c r="AM32" s="572">
        <f>IF(AL33&gt;1,PMT('Loan Rates'!$B$11,'Loan Rates'!$B$7,-1*'Loan Rates'!$K$29),0)</f>
        <v>0</v>
      </c>
      <c r="AN32" s="572">
        <f>IF(AM33&gt;1,PMT('Loan Rates'!$B$11,'Loan Rates'!$B$7,-1*'Loan Rates'!$K$29),0)</f>
        <v>0</v>
      </c>
      <c r="AO32" s="572">
        <f>IF(AN33&gt;1,PMT('Loan Rates'!$B$11,'Loan Rates'!$B$7,-1*'Loan Rates'!$K$29),0)</f>
        <v>0</v>
      </c>
      <c r="AP32" s="572">
        <f>IF(AO33&gt;1,PMT('Loan Rates'!$B$11,'Loan Rates'!$B$7,-1*'Loan Rates'!$K$29),0)</f>
        <v>0</v>
      </c>
      <c r="AQ32" s="572">
        <f>IF(AP33&gt;1,PMT('Loan Rates'!$B$11,'Loan Rates'!$B$7,-1*'Loan Rates'!$K$29),0)</f>
        <v>0</v>
      </c>
      <c r="AR32" s="572">
        <f>IF(AQ33&gt;1,PMT('Loan Rates'!$B$11,'Loan Rates'!$B$7,-1*'Loan Rates'!$K$29),0)</f>
        <v>0</v>
      </c>
      <c r="AS32" s="572">
        <f>IF(AR33&gt;1,PMT('Loan Rates'!$B$11,'Loan Rates'!$B$7,-1*'Loan Rates'!$K$29),0)</f>
        <v>0</v>
      </c>
      <c r="AT32" s="572">
        <f>IF(AS33&gt;1,PMT('Loan Rates'!$B$11,'Loan Rates'!$B$7,-1*'Loan Rates'!$K$29),0)</f>
        <v>0</v>
      </c>
      <c r="AU32" s="572">
        <f>IF(AT33&gt;1,PMT('Loan Rates'!$B$11,'Loan Rates'!$B$7,-1*'Loan Rates'!$K$29),0)</f>
        <v>0</v>
      </c>
      <c r="AV32" s="572">
        <f>IF(AU33&gt;1,PMT('Loan Rates'!$B$11,'Loan Rates'!$B$7,-1*'Loan Rates'!$K$29),0)</f>
        <v>0</v>
      </c>
      <c r="AW32" s="572">
        <f>IF(AV33&gt;1,PMT('Loan Rates'!$B$11,'Loan Rates'!$B$7,-1*'Loan Rates'!$K$29),0)</f>
        <v>0</v>
      </c>
      <c r="AX32" s="572">
        <f>IF(AW33&gt;1,PMT('Loan Rates'!$B$11,'Loan Rates'!$B$7,-1*'Loan Rates'!$K$29),0)</f>
        <v>0</v>
      </c>
      <c r="AY32" s="572">
        <f>IF(AX33&gt;1,PMT('Loan Rates'!$B$11,'Loan Rates'!$B$7,-1*'Loan Rates'!$K$29),0)</f>
        <v>0</v>
      </c>
      <c r="AZ32" s="572">
        <f>IF(AY33&gt;1,PMT('Loan Rates'!$B$11,'Loan Rates'!$B$7,-1*'Loan Rates'!$K$29),0)</f>
        <v>0</v>
      </c>
      <c r="BA32" s="572">
        <f>IF(AZ33&gt;1,PMT('Loan Rates'!$B$11,'Loan Rates'!$B$7,-1*'Loan Rates'!$K$29),0)</f>
        <v>0</v>
      </c>
      <c r="BB32" s="572">
        <f>IF(BA33&gt;1,PMT('Loan Rates'!$B$11,'Loan Rates'!$B$7,-1*'Loan Rates'!$K$29),0)</f>
        <v>0</v>
      </c>
      <c r="BC32" s="572">
        <f>IF(BB33&gt;1,PMT('Loan Rates'!$B$11,'Loan Rates'!$B$7,-1*'Loan Rates'!$K$29),0)</f>
        <v>0</v>
      </c>
      <c r="BD32" s="572">
        <f>IF(BC33&gt;1,PMT('Loan Rates'!$B$11,'Loan Rates'!$B$7,-1*'Loan Rates'!$K$29),0)</f>
        <v>0</v>
      </c>
      <c r="BE32" s="572">
        <f>IF(BD33&gt;1,PMT('Loan Rates'!$B$11,'Loan Rates'!$B$7,-1*'Loan Rates'!$K$29),0)</f>
        <v>0</v>
      </c>
      <c r="BF32" s="572">
        <f>IF(BE33&gt;1,PMT('Loan Rates'!$B$11,'Loan Rates'!$B$7,-1*'Loan Rates'!$K$29),0)</f>
        <v>0</v>
      </c>
      <c r="BG32" s="572">
        <f>IF(BF33&gt;1,PMT('Loan Rates'!$B$11,'Loan Rates'!$B$7,-1*'Loan Rates'!$K$29),0)</f>
        <v>0</v>
      </c>
      <c r="BH32" s="572">
        <f>IF(BG33&gt;1,PMT('Loan Rates'!$B$11,'Loan Rates'!$B$7,-1*'Loan Rates'!$K$29),0)</f>
        <v>0</v>
      </c>
      <c r="BI32" s="8"/>
      <c r="BJ32" s="8"/>
      <c r="BK32" s="8"/>
      <c r="BL32" s="8"/>
      <c r="BM32" s="8"/>
      <c r="BN32" s="8"/>
      <c r="BO32" s="8"/>
      <c r="BP32" s="8"/>
      <c r="BQ32" s="8"/>
      <c r="BR32" s="8"/>
      <c r="BS32" s="8"/>
      <c r="BT32" s="8"/>
      <c r="BU32" s="8"/>
      <c r="BV32" s="8"/>
      <c r="BW32" s="8"/>
      <c r="BX32" s="8"/>
      <c r="BY32" s="8"/>
      <c r="BZ32" s="8"/>
      <c r="CA32" s="8"/>
      <c r="CB32" s="8"/>
      <c r="CC32" s="8"/>
      <c r="CD32" s="8"/>
      <c r="CE32" s="8"/>
    </row>
    <row r="33" spans="1:83" x14ac:dyDescent="0.25">
      <c r="A33" s="134" t="s">
        <v>99</v>
      </c>
      <c r="B33" s="145">
        <v>8</v>
      </c>
      <c r="C33" s="157">
        <v>2.0099999999999998</v>
      </c>
      <c r="D33" s="158">
        <v>2.0099999999999998</v>
      </c>
      <c r="E33" s="159">
        <v>2.12</v>
      </c>
      <c r="H33" s="570" t="s">
        <v>194</v>
      </c>
      <c r="I33" s="571"/>
      <c r="J33" s="571"/>
      <c r="K33" s="572">
        <f t="shared" ref="K33:AP33" si="22">K29-K31</f>
        <v>0</v>
      </c>
      <c r="L33" s="572">
        <f t="shared" si="22"/>
        <v>0</v>
      </c>
      <c r="M33" s="572">
        <f t="shared" si="22"/>
        <v>0</v>
      </c>
      <c r="N33" s="572">
        <f t="shared" si="22"/>
        <v>0</v>
      </c>
      <c r="O33" s="572">
        <f t="shared" si="22"/>
        <v>0</v>
      </c>
      <c r="P33" s="572">
        <f t="shared" si="22"/>
        <v>0</v>
      </c>
      <c r="Q33" s="572">
        <f t="shared" si="22"/>
        <v>0</v>
      </c>
      <c r="R33" s="572">
        <f t="shared" si="22"/>
        <v>0</v>
      </c>
      <c r="S33" s="572">
        <f t="shared" si="22"/>
        <v>0</v>
      </c>
      <c r="T33" s="572">
        <f t="shared" si="22"/>
        <v>0</v>
      </c>
      <c r="U33" s="572">
        <f t="shared" si="22"/>
        <v>0</v>
      </c>
      <c r="V33" s="572">
        <f t="shared" si="22"/>
        <v>0</v>
      </c>
      <c r="W33" s="572">
        <f t="shared" si="22"/>
        <v>0</v>
      </c>
      <c r="X33" s="572">
        <f t="shared" si="22"/>
        <v>0</v>
      </c>
      <c r="Y33" s="572">
        <f t="shared" si="22"/>
        <v>0</v>
      </c>
      <c r="Z33" s="572">
        <f t="shared" si="22"/>
        <v>0</v>
      </c>
      <c r="AA33" s="572">
        <f t="shared" si="22"/>
        <v>0</v>
      </c>
      <c r="AB33" s="572">
        <f t="shared" si="22"/>
        <v>0</v>
      </c>
      <c r="AC33" s="572">
        <f t="shared" si="22"/>
        <v>0</v>
      </c>
      <c r="AD33" s="572">
        <f t="shared" si="22"/>
        <v>0</v>
      </c>
      <c r="AE33" s="572">
        <f t="shared" si="22"/>
        <v>0</v>
      </c>
      <c r="AF33" s="572">
        <f t="shared" si="22"/>
        <v>0</v>
      </c>
      <c r="AG33" s="572">
        <f t="shared" si="22"/>
        <v>0</v>
      </c>
      <c r="AH33" s="572">
        <f t="shared" si="22"/>
        <v>0</v>
      </c>
      <c r="AI33" s="572">
        <f t="shared" si="22"/>
        <v>0</v>
      </c>
      <c r="AJ33" s="572">
        <f t="shared" si="22"/>
        <v>0</v>
      </c>
      <c r="AK33" s="572">
        <f t="shared" si="22"/>
        <v>0</v>
      </c>
      <c r="AL33" s="572">
        <f t="shared" si="22"/>
        <v>0</v>
      </c>
      <c r="AM33" s="572">
        <f t="shared" si="22"/>
        <v>0</v>
      </c>
      <c r="AN33" s="572">
        <f t="shared" si="22"/>
        <v>0</v>
      </c>
      <c r="AO33" s="572">
        <f t="shared" si="22"/>
        <v>0</v>
      </c>
      <c r="AP33" s="572">
        <f t="shared" si="22"/>
        <v>0</v>
      </c>
      <c r="AQ33" s="572">
        <f t="shared" ref="AQ33:BH33" si="23">AQ29-AQ31</f>
        <v>0</v>
      </c>
      <c r="AR33" s="572">
        <f t="shared" si="23"/>
        <v>0</v>
      </c>
      <c r="AS33" s="572">
        <f t="shared" si="23"/>
        <v>0</v>
      </c>
      <c r="AT33" s="572">
        <f t="shared" si="23"/>
        <v>0</v>
      </c>
      <c r="AU33" s="572">
        <f t="shared" si="23"/>
        <v>0</v>
      </c>
      <c r="AV33" s="572">
        <f t="shared" si="23"/>
        <v>0</v>
      </c>
      <c r="AW33" s="572">
        <f t="shared" si="23"/>
        <v>0</v>
      </c>
      <c r="AX33" s="572">
        <f t="shared" si="23"/>
        <v>0</v>
      </c>
      <c r="AY33" s="572">
        <f t="shared" si="23"/>
        <v>0</v>
      </c>
      <c r="AZ33" s="572">
        <f t="shared" si="23"/>
        <v>0</v>
      </c>
      <c r="BA33" s="572">
        <f t="shared" si="23"/>
        <v>0</v>
      </c>
      <c r="BB33" s="572">
        <f t="shared" si="23"/>
        <v>0</v>
      </c>
      <c r="BC33" s="572">
        <f t="shared" si="23"/>
        <v>0</v>
      </c>
      <c r="BD33" s="572">
        <f t="shared" si="23"/>
        <v>0</v>
      </c>
      <c r="BE33" s="572">
        <f t="shared" si="23"/>
        <v>0</v>
      </c>
      <c r="BF33" s="572">
        <f t="shared" si="23"/>
        <v>0</v>
      </c>
      <c r="BG33" s="572">
        <f t="shared" si="23"/>
        <v>0</v>
      </c>
      <c r="BH33" s="572">
        <f t="shared" si="23"/>
        <v>0</v>
      </c>
      <c r="BI33" s="8"/>
      <c r="BJ33" s="8"/>
      <c r="BK33" s="8"/>
      <c r="BL33" s="8"/>
      <c r="BM33" s="8"/>
      <c r="BN33" s="8"/>
      <c r="BO33" s="8"/>
      <c r="BP33" s="8"/>
      <c r="BQ33" s="8"/>
      <c r="BR33" s="8"/>
      <c r="BS33" s="8"/>
      <c r="BT33" s="8"/>
      <c r="BU33" s="8"/>
      <c r="BV33" s="8"/>
      <c r="BW33" s="8"/>
      <c r="BX33" s="8"/>
      <c r="BY33" s="8"/>
      <c r="BZ33" s="8"/>
      <c r="CA33" s="8"/>
      <c r="CB33" s="8"/>
      <c r="CC33" s="8"/>
      <c r="CD33" s="8"/>
      <c r="CE33" s="8"/>
    </row>
    <row r="34" spans="1:83" x14ac:dyDescent="0.25">
      <c r="A34" s="134" t="s">
        <v>100</v>
      </c>
      <c r="B34" s="145">
        <v>8.5</v>
      </c>
      <c r="C34" s="157">
        <v>2.0099999999999998</v>
      </c>
      <c r="D34" s="158">
        <v>2.0099999999999998</v>
      </c>
      <c r="E34" s="159">
        <v>2.14</v>
      </c>
      <c r="H34" s="565" t="s">
        <v>86</v>
      </c>
      <c r="I34" s="560"/>
      <c r="J34" s="561"/>
      <c r="K34" s="561"/>
      <c r="L34" s="561"/>
      <c r="M34" s="561"/>
      <c r="N34" s="561"/>
      <c r="O34" s="561"/>
      <c r="P34" s="561"/>
      <c r="Q34" s="561"/>
      <c r="R34" s="561"/>
      <c r="S34" s="561"/>
      <c r="T34" s="561"/>
      <c r="U34" s="561"/>
      <c r="V34" s="561"/>
      <c r="W34" s="561"/>
      <c r="X34" s="561"/>
      <c r="Y34" s="561"/>
      <c r="Z34" s="561"/>
      <c r="AA34" s="561"/>
      <c r="AB34" s="561"/>
      <c r="AC34" s="561"/>
      <c r="AD34" s="561"/>
      <c r="AE34" s="561"/>
      <c r="AF34" s="561"/>
      <c r="AG34" s="561"/>
      <c r="AH34" s="561"/>
      <c r="AI34" s="561"/>
      <c r="AJ34" s="561"/>
      <c r="AK34" s="561"/>
      <c r="AL34" s="561"/>
      <c r="AM34" s="561"/>
      <c r="AN34" s="561"/>
      <c r="AO34" s="561"/>
      <c r="AP34" s="561"/>
      <c r="AQ34" s="561"/>
      <c r="AR34" s="561"/>
      <c r="AS34" s="561"/>
      <c r="AT34" s="561"/>
      <c r="AU34" s="561"/>
      <c r="AV34" s="561"/>
      <c r="AW34" s="561"/>
      <c r="AX34" s="561"/>
      <c r="AY34" s="561"/>
      <c r="AZ34" s="561"/>
      <c r="BA34" s="561"/>
      <c r="BB34" s="561"/>
      <c r="BC34" s="561"/>
      <c r="BD34" s="561"/>
      <c r="BE34" s="561"/>
      <c r="BF34" s="561"/>
      <c r="BG34" s="561"/>
      <c r="BH34" s="561"/>
      <c r="BI34" s="8"/>
      <c r="BJ34" s="8"/>
      <c r="BK34" s="8"/>
      <c r="BL34" s="8"/>
      <c r="BM34" s="8"/>
      <c r="BN34" s="8"/>
      <c r="BO34" s="8"/>
      <c r="BP34" s="8"/>
      <c r="BQ34" s="8"/>
      <c r="BR34" s="8"/>
      <c r="BS34" s="8"/>
      <c r="BT34" s="8"/>
      <c r="BU34" s="8"/>
      <c r="BV34" s="8"/>
      <c r="BW34" s="8"/>
      <c r="BX34" s="8"/>
      <c r="BY34" s="8"/>
      <c r="BZ34" s="8"/>
      <c r="CA34" s="8"/>
      <c r="CB34" s="8"/>
      <c r="CC34" s="8"/>
      <c r="CD34" s="8"/>
      <c r="CE34" s="8"/>
    </row>
    <row r="35" spans="1:83" x14ac:dyDescent="0.25">
      <c r="A35" s="134" t="s">
        <v>101</v>
      </c>
      <c r="B35" s="145">
        <v>9</v>
      </c>
      <c r="C35" s="157">
        <v>2.02</v>
      </c>
      <c r="D35" s="158">
        <v>2.02</v>
      </c>
      <c r="E35" s="159">
        <v>2.17</v>
      </c>
      <c r="H35" s="570" t="s">
        <v>190</v>
      </c>
      <c r="I35" s="571"/>
      <c r="J35" s="571"/>
      <c r="K35" s="572">
        <f>K29</f>
        <v>0</v>
      </c>
      <c r="L35" s="572">
        <f t="shared" ref="L35:AQ35" si="24">K39</f>
        <v>0</v>
      </c>
      <c r="M35" s="572">
        <f t="shared" si="24"/>
        <v>0</v>
      </c>
      <c r="N35" s="572">
        <f t="shared" si="24"/>
        <v>0</v>
      </c>
      <c r="O35" s="572">
        <f t="shared" si="24"/>
        <v>0</v>
      </c>
      <c r="P35" s="572">
        <f t="shared" si="24"/>
        <v>0</v>
      </c>
      <c r="Q35" s="572">
        <f t="shared" si="24"/>
        <v>0</v>
      </c>
      <c r="R35" s="572">
        <f t="shared" si="24"/>
        <v>0</v>
      </c>
      <c r="S35" s="572">
        <f t="shared" si="24"/>
        <v>0</v>
      </c>
      <c r="T35" s="572">
        <f t="shared" si="24"/>
        <v>0</v>
      </c>
      <c r="U35" s="572">
        <f t="shared" si="24"/>
        <v>0</v>
      </c>
      <c r="V35" s="572">
        <f t="shared" si="24"/>
        <v>0</v>
      </c>
      <c r="W35" s="572">
        <f t="shared" si="24"/>
        <v>0</v>
      </c>
      <c r="X35" s="572">
        <f t="shared" si="24"/>
        <v>0</v>
      </c>
      <c r="Y35" s="572">
        <f t="shared" si="24"/>
        <v>0</v>
      </c>
      <c r="Z35" s="572">
        <f t="shared" si="24"/>
        <v>0</v>
      </c>
      <c r="AA35" s="572">
        <f t="shared" si="24"/>
        <v>0</v>
      </c>
      <c r="AB35" s="572">
        <f t="shared" si="24"/>
        <v>0</v>
      </c>
      <c r="AC35" s="572">
        <f t="shared" si="24"/>
        <v>0</v>
      </c>
      <c r="AD35" s="572">
        <f t="shared" si="24"/>
        <v>0</v>
      </c>
      <c r="AE35" s="572">
        <f t="shared" si="24"/>
        <v>0</v>
      </c>
      <c r="AF35" s="572">
        <f t="shared" si="24"/>
        <v>0</v>
      </c>
      <c r="AG35" s="572">
        <f t="shared" si="24"/>
        <v>0</v>
      </c>
      <c r="AH35" s="572">
        <f t="shared" si="24"/>
        <v>0</v>
      </c>
      <c r="AI35" s="572">
        <f t="shared" si="24"/>
        <v>0</v>
      </c>
      <c r="AJ35" s="572">
        <f t="shared" si="24"/>
        <v>0</v>
      </c>
      <c r="AK35" s="572">
        <f t="shared" si="24"/>
        <v>0</v>
      </c>
      <c r="AL35" s="572">
        <f t="shared" si="24"/>
        <v>0</v>
      </c>
      <c r="AM35" s="572">
        <f t="shared" si="24"/>
        <v>0</v>
      </c>
      <c r="AN35" s="572">
        <f t="shared" si="24"/>
        <v>0</v>
      </c>
      <c r="AO35" s="572">
        <f t="shared" si="24"/>
        <v>0</v>
      </c>
      <c r="AP35" s="572">
        <f t="shared" si="24"/>
        <v>0</v>
      </c>
      <c r="AQ35" s="572">
        <f t="shared" si="24"/>
        <v>0</v>
      </c>
      <c r="AR35" s="572">
        <f t="shared" ref="AR35:BH35" si="25">AQ39</f>
        <v>0</v>
      </c>
      <c r="AS35" s="572">
        <f t="shared" si="25"/>
        <v>0</v>
      </c>
      <c r="AT35" s="572">
        <f t="shared" si="25"/>
        <v>0</v>
      </c>
      <c r="AU35" s="572">
        <f t="shared" si="25"/>
        <v>0</v>
      </c>
      <c r="AV35" s="572">
        <f t="shared" si="25"/>
        <v>0</v>
      </c>
      <c r="AW35" s="572">
        <f t="shared" si="25"/>
        <v>0</v>
      </c>
      <c r="AX35" s="572">
        <f t="shared" si="25"/>
        <v>0</v>
      </c>
      <c r="AY35" s="572">
        <f t="shared" si="25"/>
        <v>0</v>
      </c>
      <c r="AZ35" s="572">
        <f t="shared" si="25"/>
        <v>0</v>
      </c>
      <c r="BA35" s="572">
        <f t="shared" si="25"/>
        <v>0</v>
      </c>
      <c r="BB35" s="572">
        <f t="shared" si="25"/>
        <v>0</v>
      </c>
      <c r="BC35" s="572">
        <f t="shared" si="25"/>
        <v>0</v>
      </c>
      <c r="BD35" s="572">
        <f t="shared" si="25"/>
        <v>0</v>
      </c>
      <c r="BE35" s="572">
        <f t="shared" si="25"/>
        <v>0</v>
      </c>
      <c r="BF35" s="572">
        <f t="shared" si="25"/>
        <v>0</v>
      </c>
      <c r="BG35" s="572">
        <f t="shared" si="25"/>
        <v>0</v>
      </c>
      <c r="BH35" s="572">
        <f t="shared" si="25"/>
        <v>0</v>
      </c>
      <c r="BI35" s="8"/>
      <c r="BJ35" s="8"/>
      <c r="BK35" s="8"/>
      <c r="BL35" s="8"/>
      <c r="BM35" s="8"/>
      <c r="BN35" s="8"/>
      <c r="BO35" s="8"/>
      <c r="BP35" s="8"/>
      <c r="BQ35" s="8"/>
      <c r="BR35" s="8"/>
      <c r="BS35" s="8"/>
      <c r="BT35" s="8"/>
      <c r="BU35" s="8"/>
      <c r="BV35" s="8"/>
      <c r="BW35" s="8"/>
      <c r="BX35" s="8"/>
      <c r="BY35" s="8"/>
      <c r="BZ35" s="8"/>
      <c r="CA35" s="8"/>
      <c r="CB35" s="8"/>
      <c r="CC35" s="8"/>
      <c r="CD35" s="8"/>
      <c r="CE35" s="8"/>
    </row>
    <row r="36" spans="1:83" x14ac:dyDescent="0.25">
      <c r="A36" s="134" t="s">
        <v>102</v>
      </c>
      <c r="B36" s="145">
        <v>9.5</v>
      </c>
      <c r="C36" s="157">
        <v>2.02</v>
      </c>
      <c r="D36" s="158">
        <v>2.02</v>
      </c>
      <c r="E36" s="159">
        <v>2.19</v>
      </c>
      <c r="H36" s="570" t="s">
        <v>191</v>
      </c>
      <c r="I36" s="571"/>
      <c r="J36" s="571"/>
      <c r="K36" s="572">
        <f>IFERROR(K35*'Loan Rates'!$B$12,0)</f>
        <v>0</v>
      </c>
      <c r="L36" s="572">
        <f>IF(K39&gt;0,L35*'Loan Rates'!$B$12,0)</f>
        <v>0</v>
      </c>
      <c r="M36" s="572">
        <f>IF(L39&gt;0,M35*'Loan Rates'!$B$12,0)</f>
        <v>0</v>
      </c>
      <c r="N36" s="572">
        <f>IF(M39&gt;0,N35*'Loan Rates'!$B$12,0)</f>
        <v>0</v>
      </c>
      <c r="O36" s="572">
        <f>IF(N39&gt;0,O35*'Loan Rates'!$B$12,0)</f>
        <v>0</v>
      </c>
      <c r="P36" s="572">
        <f>IF(O39&gt;0,P35*'Loan Rates'!$B$12,0)</f>
        <v>0</v>
      </c>
      <c r="Q36" s="572">
        <f>IF(P39&gt;0,Q35*'Loan Rates'!$B$12,0)</f>
        <v>0</v>
      </c>
      <c r="R36" s="572">
        <f>IF(Q39&gt;0,R35*'Loan Rates'!$B$12,0)</f>
        <v>0</v>
      </c>
      <c r="S36" s="572">
        <f>IF(R39&gt;0,S35*'Loan Rates'!$B$12,0)</f>
        <v>0</v>
      </c>
      <c r="T36" s="572">
        <f>IF(S39&gt;0,T35*'Loan Rates'!$B$12,0)</f>
        <v>0</v>
      </c>
      <c r="U36" s="572">
        <f>IF(T39&gt;0,U35*'Loan Rates'!$B$12,0)</f>
        <v>0</v>
      </c>
      <c r="V36" s="572">
        <f>IF(U39&gt;0,V35*'Loan Rates'!$B$12,0)</f>
        <v>0</v>
      </c>
      <c r="W36" s="572">
        <f>IF(V39&gt;0,W35*'Loan Rates'!$B$12,0)</f>
        <v>0</v>
      </c>
      <c r="X36" s="572">
        <f>IF(W39&gt;0,X35*'Loan Rates'!$B$12,0)</f>
        <v>0</v>
      </c>
      <c r="Y36" s="572">
        <f>IF(X39&gt;0,Y35*'Loan Rates'!$B$12,0)</f>
        <v>0</v>
      </c>
      <c r="Z36" s="572">
        <f>IF(Y39&gt;0,Z35*'Loan Rates'!$B$12,0)</f>
        <v>0</v>
      </c>
      <c r="AA36" s="572">
        <f>IF(Z39&gt;0,AA35*'Loan Rates'!$B$12,0)</f>
        <v>0</v>
      </c>
      <c r="AB36" s="572">
        <f>IF(AA39&gt;0,AB35*'Loan Rates'!$B$12,0)</f>
        <v>0</v>
      </c>
      <c r="AC36" s="572">
        <f>IF(AB39&gt;0,AC35*'Loan Rates'!$B$12,0)</f>
        <v>0</v>
      </c>
      <c r="AD36" s="572">
        <f>IF(AC39&gt;0,AD35*'Loan Rates'!$B$12,0)</f>
        <v>0</v>
      </c>
      <c r="AE36" s="572">
        <f>IF(AD39&gt;0,AE35*'Loan Rates'!$B$12,0)</f>
        <v>0</v>
      </c>
      <c r="AF36" s="572">
        <f>IF(AE39&gt;0,AF35*'Loan Rates'!$B$12,0)</f>
        <v>0</v>
      </c>
      <c r="AG36" s="572">
        <f>IF(AF39&gt;0,AG35*'Loan Rates'!$B$12,0)</f>
        <v>0</v>
      </c>
      <c r="AH36" s="572">
        <f>IF(AG39&gt;0,AH35*'Loan Rates'!$B$12,0)</f>
        <v>0</v>
      </c>
      <c r="AI36" s="572">
        <f>IF(AH39&gt;0,AI35*'Loan Rates'!$B$12,0)</f>
        <v>0</v>
      </c>
      <c r="AJ36" s="572">
        <f>IF(AI39&gt;0,AJ35*'Loan Rates'!$B$12,0)</f>
        <v>0</v>
      </c>
      <c r="AK36" s="572">
        <f>IF(AJ39&gt;0,AK35*'Loan Rates'!$B$12,0)</f>
        <v>0</v>
      </c>
      <c r="AL36" s="572">
        <f>IF(AK39&gt;0,AL35*'Loan Rates'!$B$12,0)</f>
        <v>0</v>
      </c>
      <c r="AM36" s="572">
        <f>IF(AL39&gt;0,AM35*'Loan Rates'!$B$12,0)</f>
        <v>0</v>
      </c>
      <c r="AN36" s="572">
        <f>IF(AM39&gt;0,AN35*'Loan Rates'!$B$12,0)</f>
        <v>0</v>
      </c>
      <c r="AO36" s="572">
        <f>IF(AN39&gt;0,AO35*'Loan Rates'!$B$12,0)</f>
        <v>0</v>
      </c>
      <c r="AP36" s="572">
        <f>IF(AO39&gt;0,AP35*'Loan Rates'!$B$12,0)</f>
        <v>0</v>
      </c>
      <c r="AQ36" s="572">
        <f>IF(AP39&gt;0,AQ35*'Loan Rates'!$B$12,0)</f>
        <v>0</v>
      </c>
      <c r="AR36" s="572">
        <f>IF(AQ39&gt;0,AR35*'Loan Rates'!$B$12,0)</f>
        <v>0</v>
      </c>
      <c r="AS36" s="572">
        <f>IF(AR39&gt;0,AS35*'Loan Rates'!$B$12,0)</f>
        <v>0</v>
      </c>
      <c r="AT36" s="572">
        <f>IF(AS39&gt;0,AT35*'Loan Rates'!$B$12,0)</f>
        <v>0</v>
      </c>
      <c r="AU36" s="572">
        <f>IF(AT39&gt;0,AU35*'Loan Rates'!$B$12,0)</f>
        <v>0</v>
      </c>
      <c r="AV36" s="572">
        <f>IF(AU39&gt;0,AV35*'Loan Rates'!$B$12,0)</f>
        <v>0</v>
      </c>
      <c r="AW36" s="572">
        <f>IF(AV39&gt;0,AW35*'Loan Rates'!$B$12,0)</f>
        <v>0</v>
      </c>
      <c r="AX36" s="572">
        <f>IF(AW39&gt;0,AX35*'Loan Rates'!$B$12,0)</f>
        <v>0</v>
      </c>
      <c r="AY36" s="572">
        <f>IF(AX39&gt;0,AY35*'Loan Rates'!$B$12,0)</f>
        <v>0</v>
      </c>
      <c r="AZ36" s="572">
        <f>IF(AY39&gt;0,AZ35*'Loan Rates'!$B$12,0)</f>
        <v>0</v>
      </c>
      <c r="BA36" s="572">
        <f>IF(AZ39&gt;0,BA35*'Loan Rates'!$B$12,0)</f>
        <v>0</v>
      </c>
      <c r="BB36" s="572">
        <f>IF(BA39&gt;0,BB35*'Loan Rates'!$B$12,0)</f>
        <v>0</v>
      </c>
      <c r="BC36" s="572">
        <f>IF(BB39&gt;0,BC35*'Loan Rates'!$B$12,0)</f>
        <v>0</v>
      </c>
      <c r="BD36" s="572">
        <f>IF(BC39&gt;0,BD35*'Loan Rates'!$B$12,0)</f>
        <v>0</v>
      </c>
      <c r="BE36" s="572">
        <f>IF(BD39&gt;0,BE35*'Loan Rates'!$B$12,0)</f>
        <v>0</v>
      </c>
      <c r="BF36" s="572">
        <f>IF(BE39&gt;0,BF35*'Loan Rates'!$B$12,0)</f>
        <v>0</v>
      </c>
      <c r="BG36" s="572">
        <f>IF(BF39&gt;0,BG35*'Loan Rates'!$B$12,0)</f>
        <v>0</v>
      </c>
      <c r="BH36" s="572">
        <f>IF(BG39&gt;0,BH35*'Loan Rates'!$B$12,0)</f>
        <v>0</v>
      </c>
      <c r="BI36" s="8"/>
      <c r="BJ36" s="8"/>
      <c r="BK36" s="8"/>
      <c r="BL36" s="8"/>
      <c r="BM36" s="8"/>
      <c r="BN36" s="8"/>
      <c r="BO36" s="8"/>
      <c r="BP36" s="8"/>
      <c r="BQ36" s="8"/>
      <c r="BR36" s="8"/>
      <c r="BS36" s="8"/>
      <c r="BT36" s="8"/>
      <c r="BU36" s="8"/>
      <c r="BV36" s="8"/>
      <c r="BW36" s="8"/>
      <c r="BX36" s="8"/>
      <c r="BY36" s="8"/>
      <c r="BZ36" s="8"/>
      <c r="CA36" s="8"/>
      <c r="CB36" s="8"/>
      <c r="CC36" s="8"/>
      <c r="CD36" s="8"/>
      <c r="CE36" s="8"/>
    </row>
    <row r="37" spans="1:83" x14ac:dyDescent="0.25">
      <c r="A37" s="134" t="s">
        <v>103</v>
      </c>
      <c r="B37" s="145">
        <v>10</v>
      </c>
      <c r="C37" s="157">
        <v>2.0299999999999998</v>
      </c>
      <c r="D37" s="158">
        <v>2.0299999999999998</v>
      </c>
      <c r="E37" s="159">
        <v>2.2200000000000002</v>
      </c>
      <c r="H37" s="570" t="s">
        <v>192</v>
      </c>
      <c r="I37" s="571"/>
      <c r="J37" s="571"/>
      <c r="K37" s="572">
        <f>IF(J39&gt;0,IF('Cash Flow Model'!D6&lt;'Loan Rates'!$B$7,0,'Loan Rates'!$K$35),0)</f>
        <v>0</v>
      </c>
      <c r="L37" s="572">
        <f>IF(K39&gt;0,IF('Cash Flow Model'!E6&lt;'Loan Rates'!$B$7,0,'Loan Rates'!$K$35),0)</f>
        <v>0</v>
      </c>
      <c r="M37" s="572">
        <f>IF(L39&gt;0,IF('Cash Flow Model'!F6&lt;'Loan Rates'!$B$7,0,'Loan Rates'!$K$35),0)</f>
        <v>0</v>
      </c>
      <c r="N37" s="572">
        <f>IF(M39&gt;0,IF('Cash Flow Model'!G6&lt;'Loan Rates'!$B$7,0,'Loan Rates'!$K$35),0)</f>
        <v>0</v>
      </c>
      <c r="O37" s="572">
        <f>IF(N39&gt;0,IF('Cash Flow Model'!H6&lt;'Loan Rates'!$B$7,0,'Loan Rates'!$K$35),0)</f>
        <v>0</v>
      </c>
      <c r="P37" s="572">
        <f>IF(O39&gt;0,IF('Cash Flow Model'!I6&lt;'Loan Rates'!$B$7,0,'Loan Rates'!$K$35),0)</f>
        <v>0</v>
      </c>
      <c r="Q37" s="572">
        <f>IF(P39&gt;0,IF('Cash Flow Model'!J6&lt;'Loan Rates'!$B$7,0,'Loan Rates'!$K$35),0)</f>
        <v>0</v>
      </c>
      <c r="R37" s="572">
        <f>IF(Q39&gt;0,IF('Cash Flow Model'!K6&lt;'Loan Rates'!$B$7,0,'Loan Rates'!$K$35),0)</f>
        <v>0</v>
      </c>
      <c r="S37" s="572">
        <f>IF(R39&gt;0,IF('Cash Flow Model'!L6&lt;'Loan Rates'!$B$7,0,'Loan Rates'!$K$35),0)</f>
        <v>0</v>
      </c>
      <c r="T37" s="572">
        <f>IF(S39&gt;0,IF('Cash Flow Model'!M6&lt;'Loan Rates'!$B$7,0,'Loan Rates'!$K$35),0)</f>
        <v>0</v>
      </c>
      <c r="U37" s="572">
        <f>IF(T39&gt;0,IF('Cash Flow Model'!N6&lt;'Loan Rates'!$B$7,0,'Loan Rates'!$K$35),0)</f>
        <v>0</v>
      </c>
      <c r="V37" s="572">
        <f>IF(U39&gt;0,IF('Cash Flow Model'!O6&lt;'Loan Rates'!$B$7,0,'Loan Rates'!$K$35),0)</f>
        <v>0</v>
      </c>
      <c r="W37" s="572">
        <f>IF(V39&gt;0,IF('Cash Flow Model'!P6&lt;'Loan Rates'!$B$7,0,'Loan Rates'!$K$35),0)</f>
        <v>0</v>
      </c>
      <c r="X37" s="572">
        <f>IF(W39&gt;0,IF('Cash Flow Model'!Q6&lt;'Loan Rates'!$B$7,0,'Loan Rates'!$K$35),0)</f>
        <v>0</v>
      </c>
      <c r="Y37" s="572">
        <f>IF(X39&gt;0,IF('Cash Flow Model'!R6&lt;'Loan Rates'!$B$7,0,'Loan Rates'!$K$35),0)</f>
        <v>0</v>
      </c>
      <c r="Z37" s="572">
        <f>IF(Y39&gt;0,IF('Cash Flow Model'!S6&lt;'Loan Rates'!$B$7,0,'Loan Rates'!$K$35),0)</f>
        <v>0</v>
      </c>
      <c r="AA37" s="572">
        <f>IF(Z39&gt;0,IF('Cash Flow Model'!T6&lt;'Loan Rates'!$B$7,0,'Loan Rates'!$K$35),0)</f>
        <v>0</v>
      </c>
      <c r="AB37" s="572">
        <f>IF(AA39&gt;0,IF('Cash Flow Model'!U6&lt;'Loan Rates'!$B$7,0,'Loan Rates'!$K$35),0)</f>
        <v>0</v>
      </c>
      <c r="AC37" s="572">
        <f>IF(AB39&gt;0,IF('Cash Flow Model'!V6&lt;'Loan Rates'!$B$7,0,'Loan Rates'!$K$35),0)</f>
        <v>0</v>
      </c>
      <c r="AD37" s="572">
        <f>IF(AC39&gt;0,IF('Cash Flow Model'!W6&lt;'Loan Rates'!$B$7,0,'Loan Rates'!$K$35),0)</f>
        <v>0</v>
      </c>
      <c r="AE37" s="572">
        <f>IF(AD39&gt;0,IF('Cash Flow Model'!X6&lt;'Loan Rates'!$B$7,0,'Loan Rates'!$K$35),0)</f>
        <v>0</v>
      </c>
      <c r="AF37" s="572">
        <f>IF(AE39&gt;0,IF('Cash Flow Model'!Y6&lt;'Loan Rates'!$B$7,0,'Loan Rates'!$K$35),0)</f>
        <v>0</v>
      </c>
      <c r="AG37" s="572">
        <f>IF(AF39&gt;0,IF('Cash Flow Model'!Z6&lt;'Loan Rates'!$B$7,0,'Loan Rates'!$K$35),0)</f>
        <v>0</v>
      </c>
      <c r="AH37" s="572">
        <f>IF(AG39&gt;0,IF('Cash Flow Model'!AA6&lt;'Loan Rates'!$B$7,0,'Loan Rates'!$K$35),0)</f>
        <v>0</v>
      </c>
      <c r="AI37" s="572">
        <f>IF(AH39&gt;0,IF('Cash Flow Model'!AB6&lt;'Loan Rates'!$B$7,0,'Loan Rates'!$K$35),0)</f>
        <v>0</v>
      </c>
      <c r="AJ37" s="572">
        <f>IF(AI39&gt;0,IF('Cash Flow Model'!AC6&lt;'Loan Rates'!$B$7,0,'Loan Rates'!$K$35),0)</f>
        <v>0</v>
      </c>
      <c r="AK37" s="572">
        <f>IF(AJ39&gt;0,IF('Cash Flow Model'!AD6&lt;'Loan Rates'!$B$7,0,'Loan Rates'!$K$35),0)</f>
        <v>0</v>
      </c>
      <c r="AL37" s="572">
        <f>IF(AK39&gt;0,IF('Cash Flow Model'!AE6&lt;'Loan Rates'!$B$7,0,'Loan Rates'!$K$35),0)</f>
        <v>0</v>
      </c>
      <c r="AM37" s="572">
        <f>IF(AL39&gt;0,IF('Cash Flow Model'!AF6&lt;'Loan Rates'!$B$7,0,'Loan Rates'!$K$35),0)</f>
        <v>0</v>
      </c>
      <c r="AN37" s="572">
        <f>IF(AM39&gt;0,IF('Cash Flow Model'!AG6&lt;'Loan Rates'!$B$7,0,'Loan Rates'!$K$35),0)</f>
        <v>0</v>
      </c>
      <c r="AO37" s="572">
        <f>IF(AN39&gt;0,IF('Cash Flow Model'!AH6&lt;'Loan Rates'!$B$7,0,'Loan Rates'!$K$35),0)</f>
        <v>0</v>
      </c>
      <c r="AP37" s="572">
        <f>IF(AO39&gt;0,IF('Cash Flow Model'!AI6&lt;'Loan Rates'!$B$7,0,'Loan Rates'!$K$35),0)</f>
        <v>0</v>
      </c>
      <c r="AQ37" s="572">
        <f>IF(AP39&gt;0,IF('Cash Flow Model'!AJ6&lt;'Loan Rates'!$B$7,0,'Loan Rates'!$K$35),0)</f>
        <v>0</v>
      </c>
      <c r="AR37" s="572">
        <f>IF(AQ39&gt;0,IF('Cash Flow Model'!AK6&lt;'Loan Rates'!$B$7,0,'Loan Rates'!$K$35),0)</f>
        <v>0</v>
      </c>
      <c r="AS37" s="572">
        <f>IF(AR39&gt;0,IF('Cash Flow Model'!AL6&lt;'Loan Rates'!$B$7,0,'Loan Rates'!$K$35),0)</f>
        <v>0</v>
      </c>
      <c r="AT37" s="572">
        <f>IF(AS39&gt;0,IF('Cash Flow Model'!AM6&lt;'Loan Rates'!$B$7,0,'Loan Rates'!$K$35),0)</f>
        <v>0</v>
      </c>
      <c r="AU37" s="572">
        <f>IF(AT39&gt;0,IF('Cash Flow Model'!AN6&lt;'Loan Rates'!$B$7,0,'Loan Rates'!$K$35),0)</f>
        <v>0</v>
      </c>
      <c r="AV37" s="572">
        <f>IF(AU39&gt;0,IF('Cash Flow Model'!AO6&lt;'Loan Rates'!$B$7,0,'Loan Rates'!$K$35),0)</f>
        <v>0</v>
      </c>
      <c r="AW37" s="572">
        <f>IF(AV39&gt;0,IF('Cash Flow Model'!AP6&lt;'Loan Rates'!$B$7,0,'Loan Rates'!$K$35),0)</f>
        <v>0</v>
      </c>
      <c r="AX37" s="572">
        <f>IF(AW39&gt;0,IF('Cash Flow Model'!AQ6&lt;'Loan Rates'!$B$7,0,'Loan Rates'!$K$35),0)</f>
        <v>0</v>
      </c>
      <c r="AY37" s="572">
        <f>IF(AX39&gt;0,IF('Cash Flow Model'!AR6&lt;'Loan Rates'!$B$7,0,'Loan Rates'!$K$35),0)</f>
        <v>0</v>
      </c>
      <c r="AZ37" s="572">
        <f>IF(AY39&gt;0,IF('Cash Flow Model'!AS6&lt;'Loan Rates'!$B$7,0,'Loan Rates'!$K$35),0)</f>
        <v>0</v>
      </c>
      <c r="BA37" s="572">
        <f>IF(AZ39&gt;0,IF('Cash Flow Model'!AT6&lt;'Loan Rates'!$B$7,0,'Loan Rates'!$K$35),0)</f>
        <v>0</v>
      </c>
      <c r="BB37" s="572">
        <f>IF(BA39&gt;0,IF('Cash Flow Model'!AU6&lt;'Loan Rates'!$B$7,0,'Loan Rates'!$K$35),0)</f>
        <v>0</v>
      </c>
      <c r="BC37" s="572">
        <f>IF(BB39&gt;0,IF('Cash Flow Model'!AV6&lt;'Loan Rates'!$B$7,0,'Loan Rates'!$K$35),0)</f>
        <v>0</v>
      </c>
      <c r="BD37" s="572">
        <f>IF(BC39&gt;0,IF('Cash Flow Model'!AW6&lt;'Loan Rates'!$B$7,0,'Loan Rates'!$K$35),0)</f>
        <v>0</v>
      </c>
      <c r="BE37" s="572">
        <f>IF(BD39&gt;0,IF('Cash Flow Model'!AX6&lt;'Loan Rates'!$B$7,0,'Loan Rates'!$K$35),0)</f>
        <v>0</v>
      </c>
      <c r="BF37" s="572">
        <f>IF(BE39&gt;0,IF('Cash Flow Model'!AY6&lt;'Loan Rates'!$B$7,0,'Loan Rates'!$K$35),0)</f>
        <v>0</v>
      </c>
      <c r="BG37" s="572">
        <f>IF(BF39&gt;0,IF('Cash Flow Model'!AZ6&lt;'Loan Rates'!$B$7,0,'Loan Rates'!$K$35),0)</f>
        <v>0</v>
      </c>
      <c r="BH37" s="572">
        <f>IF(BG39&gt;0,IF('Cash Flow Model'!BA6&lt;'Loan Rates'!$B$7,0,'Loan Rates'!$K$35),0)</f>
        <v>0</v>
      </c>
      <c r="BI37" s="8"/>
      <c r="BJ37" s="8"/>
      <c r="BK37" s="8"/>
      <c r="BL37" s="8"/>
      <c r="BM37" s="8"/>
      <c r="BN37" s="8"/>
      <c r="BO37" s="8"/>
      <c r="BP37" s="8"/>
      <c r="BQ37" s="8"/>
      <c r="BR37" s="8"/>
      <c r="BS37" s="8"/>
      <c r="BT37" s="8"/>
      <c r="BU37" s="8"/>
      <c r="BV37" s="8"/>
      <c r="BW37" s="8"/>
      <c r="BX37" s="8"/>
      <c r="BY37" s="8"/>
      <c r="BZ37" s="8"/>
      <c r="CA37" s="8"/>
      <c r="CB37" s="8"/>
      <c r="CC37" s="8"/>
      <c r="CD37" s="8"/>
      <c r="CE37" s="8"/>
    </row>
    <row r="38" spans="1:83" x14ac:dyDescent="0.25">
      <c r="A38" s="134" t="s">
        <v>104</v>
      </c>
      <c r="B38" s="145">
        <v>10.5</v>
      </c>
      <c r="C38" s="157">
        <v>2.0299999999999998</v>
      </c>
      <c r="D38" s="158">
        <v>2.0299999999999998</v>
      </c>
      <c r="E38" s="159">
        <v>2.25</v>
      </c>
      <c r="H38" s="570" t="s">
        <v>193</v>
      </c>
      <c r="I38" s="571"/>
      <c r="J38" s="571"/>
      <c r="K38" s="572">
        <f t="shared" ref="K38:AP38" si="26">K36+K37</f>
        <v>0</v>
      </c>
      <c r="L38" s="572">
        <f t="shared" si="26"/>
        <v>0</v>
      </c>
      <c r="M38" s="572">
        <f t="shared" si="26"/>
        <v>0</v>
      </c>
      <c r="N38" s="572">
        <f t="shared" si="26"/>
        <v>0</v>
      </c>
      <c r="O38" s="572">
        <f t="shared" si="26"/>
        <v>0</v>
      </c>
      <c r="P38" s="572">
        <f t="shared" si="26"/>
        <v>0</v>
      </c>
      <c r="Q38" s="572">
        <f t="shared" si="26"/>
        <v>0</v>
      </c>
      <c r="R38" s="572">
        <f t="shared" si="26"/>
        <v>0</v>
      </c>
      <c r="S38" s="572">
        <f t="shared" si="26"/>
        <v>0</v>
      </c>
      <c r="T38" s="572">
        <f t="shared" si="26"/>
        <v>0</v>
      </c>
      <c r="U38" s="572">
        <f t="shared" si="26"/>
        <v>0</v>
      </c>
      <c r="V38" s="572">
        <f t="shared" si="26"/>
        <v>0</v>
      </c>
      <c r="W38" s="572">
        <f t="shared" si="26"/>
        <v>0</v>
      </c>
      <c r="X38" s="572">
        <f t="shared" si="26"/>
        <v>0</v>
      </c>
      <c r="Y38" s="572">
        <f t="shared" si="26"/>
        <v>0</v>
      </c>
      <c r="Z38" s="572">
        <f t="shared" si="26"/>
        <v>0</v>
      </c>
      <c r="AA38" s="572">
        <f t="shared" si="26"/>
        <v>0</v>
      </c>
      <c r="AB38" s="572">
        <f t="shared" si="26"/>
        <v>0</v>
      </c>
      <c r="AC38" s="572">
        <f t="shared" si="26"/>
        <v>0</v>
      </c>
      <c r="AD38" s="572">
        <f t="shared" si="26"/>
        <v>0</v>
      </c>
      <c r="AE38" s="572">
        <f t="shared" si="26"/>
        <v>0</v>
      </c>
      <c r="AF38" s="572">
        <f t="shared" si="26"/>
        <v>0</v>
      </c>
      <c r="AG38" s="572">
        <f t="shared" si="26"/>
        <v>0</v>
      </c>
      <c r="AH38" s="572">
        <f t="shared" si="26"/>
        <v>0</v>
      </c>
      <c r="AI38" s="572">
        <f t="shared" si="26"/>
        <v>0</v>
      </c>
      <c r="AJ38" s="572">
        <f t="shared" si="26"/>
        <v>0</v>
      </c>
      <c r="AK38" s="572">
        <f t="shared" si="26"/>
        <v>0</v>
      </c>
      <c r="AL38" s="572">
        <f t="shared" si="26"/>
        <v>0</v>
      </c>
      <c r="AM38" s="572">
        <f t="shared" si="26"/>
        <v>0</v>
      </c>
      <c r="AN38" s="572">
        <f t="shared" si="26"/>
        <v>0</v>
      </c>
      <c r="AO38" s="572">
        <f t="shared" si="26"/>
        <v>0</v>
      </c>
      <c r="AP38" s="572">
        <f t="shared" si="26"/>
        <v>0</v>
      </c>
      <c r="AQ38" s="572">
        <f t="shared" ref="AQ38:BH38" si="27">AQ36+AQ37</f>
        <v>0</v>
      </c>
      <c r="AR38" s="572">
        <f t="shared" si="27"/>
        <v>0</v>
      </c>
      <c r="AS38" s="572">
        <f t="shared" si="27"/>
        <v>0</v>
      </c>
      <c r="AT38" s="572">
        <f t="shared" si="27"/>
        <v>0</v>
      </c>
      <c r="AU38" s="572">
        <f t="shared" si="27"/>
        <v>0</v>
      </c>
      <c r="AV38" s="572">
        <f t="shared" si="27"/>
        <v>0</v>
      </c>
      <c r="AW38" s="572">
        <f t="shared" si="27"/>
        <v>0</v>
      </c>
      <c r="AX38" s="572">
        <f t="shared" si="27"/>
        <v>0</v>
      </c>
      <c r="AY38" s="572">
        <f t="shared" si="27"/>
        <v>0</v>
      </c>
      <c r="AZ38" s="572">
        <f t="shared" si="27"/>
        <v>0</v>
      </c>
      <c r="BA38" s="572">
        <f t="shared" si="27"/>
        <v>0</v>
      </c>
      <c r="BB38" s="572">
        <f t="shared" si="27"/>
        <v>0</v>
      </c>
      <c r="BC38" s="572">
        <f t="shared" si="27"/>
        <v>0</v>
      </c>
      <c r="BD38" s="572">
        <f t="shared" si="27"/>
        <v>0</v>
      </c>
      <c r="BE38" s="572">
        <f t="shared" si="27"/>
        <v>0</v>
      </c>
      <c r="BF38" s="572">
        <f t="shared" si="27"/>
        <v>0</v>
      </c>
      <c r="BG38" s="572">
        <f t="shared" si="27"/>
        <v>0</v>
      </c>
      <c r="BH38" s="572">
        <f t="shared" si="27"/>
        <v>0</v>
      </c>
      <c r="BI38" s="8"/>
      <c r="BJ38" s="8"/>
      <c r="BK38" s="8"/>
      <c r="BL38" s="8"/>
      <c r="BM38" s="8"/>
      <c r="BN38" s="8"/>
      <c r="BO38" s="8"/>
      <c r="BP38" s="8"/>
      <c r="BQ38" s="8"/>
      <c r="BR38" s="8"/>
      <c r="BS38" s="8"/>
      <c r="BT38" s="8"/>
      <c r="BU38" s="8"/>
      <c r="BV38" s="8"/>
      <c r="BW38" s="8"/>
      <c r="BX38" s="8"/>
      <c r="BY38" s="8"/>
      <c r="BZ38" s="8"/>
      <c r="CA38" s="8"/>
      <c r="CB38" s="8"/>
      <c r="CC38" s="8"/>
      <c r="CD38" s="8"/>
      <c r="CE38" s="8"/>
    </row>
    <row r="39" spans="1:83" x14ac:dyDescent="0.25">
      <c r="A39" s="134" t="s">
        <v>105</v>
      </c>
      <c r="B39" s="145">
        <v>11</v>
      </c>
      <c r="C39" s="157">
        <v>2.04</v>
      </c>
      <c r="D39" s="158">
        <v>2.04</v>
      </c>
      <c r="E39" s="159">
        <v>2.2799999999999998</v>
      </c>
      <c r="H39" s="570" t="s">
        <v>194</v>
      </c>
      <c r="I39" s="571"/>
      <c r="J39" s="571"/>
      <c r="K39" s="572">
        <f t="shared" ref="K39:AP39" si="28">K35-K37</f>
        <v>0</v>
      </c>
      <c r="L39" s="572">
        <f t="shared" si="28"/>
        <v>0</v>
      </c>
      <c r="M39" s="572">
        <f t="shared" si="28"/>
        <v>0</v>
      </c>
      <c r="N39" s="572">
        <f t="shared" si="28"/>
        <v>0</v>
      </c>
      <c r="O39" s="572">
        <f t="shared" si="28"/>
        <v>0</v>
      </c>
      <c r="P39" s="572">
        <f t="shared" si="28"/>
        <v>0</v>
      </c>
      <c r="Q39" s="572">
        <f t="shared" si="28"/>
        <v>0</v>
      </c>
      <c r="R39" s="572">
        <f t="shared" si="28"/>
        <v>0</v>
      </c>
      <c r="S39" s="572">
        <f t="shared" si="28"/>
        <v>0</v>
      </c>
      <c r="T39" s="572">
        <f t="shared" si="28"/>
        <v>0</v>
      </c>
      <c r="U39" s="572">
        <f t="shared" si="28"/>
        <v>0</v>
      </c>
      <c r="V39" s="572">
        <f t="shared" si="28"/>
        <v>0</v>
      </c>
      <c r="W39" s="572">
        <f t="shared" si="28"/>
        <v>0</v>
      </c>
      <c r="X39" s="572">
        <f t="shared" si="28"/>
        <v>0</v>
      </c>
      <c r="Y39" s="572">
        <f t="shared" si="28"/>
        <v>0</v>
      </c>
      <c r="Z39" s="572">
        <f t="shared" si="28"/>
        <v>0</v>
      </c>
      <c r="AA39" s="572">
        <f t="shared" si="28"/>
        <v>0</v>
      </c>
      <c r="AB39" s="572">
        <f t="shared" si="28"/>
        <v>0</v>
      </c>
      <c r="AC39" s="572">
        <f t="shared" si="28"/>
        <v>0</v>
      </c>
      <c r="AD39" s="572">
        <f t="shared" si="28"/>
        <v>0</v>
      </c>
      <c r="AE39" s="572">
        <f t="shared" si="28"/>
        <v>0</v>
      </c>
      <c r="AF39" s="572">
        <f t="shared" si="28"/>
        <v>0</v>
      </c>
      <c r="AG39" s="572">
        <f t="shared" si="28"/>
        <v>0</v>
      </c>
      <c r="AH39" s="572">
        <f t="shared" si="28"/>
        <v>0</v>
      </c>
      <c r="AI39" s="572">
        <f t="shared" si="28"/>
        <v>0</v>
      </c>
      <c r="AJ39" s="572">
        <f t="shared" si="28"/>
        <v>0</v>
      </c>
      <c r="AK39" s="572">
        <f t="shared" si="28"/>
        <v>0</v>
      </c>
      <c r="AL39" s="572">
        <f t="shared" si="28"/>
        <v>0</v>
      </c>
      <c r="AM39" s="572">
        <f t="shared" si="28"/>
        <v>0</v>
      </c>
      <c r="AN39" s="572">
        <f t="shared" si="28"/>
        <v>0</v>
      </c>
      <c r="AO39" s="572">
        <f t="shared" si="28"/>
        <v>0</v>
      </c>
      <c r="AP39" s="572">
        <f t="shared" si="28"/>
        <v>0</v>
      </c>
      <c r="AQ39" s="572">
        <f t="shared" ref="AQ39:BH39" si="29">AQ35-AQ37</f>
        <v>0</v>
      </c>
      <c r="AR39" s="572">
        <f t="shared" si="29"/>
        <v>0</v>
      </c>
      <c r="AS39" s="572">
        <f t="shared" si="29"/>
        <v>0</v>
      </c>
      <c r="AT39" s="572">
        <f t="shared" si="29"/>
        <v>0</v>
      </c>
      <c r="AU39" s="572">
        <f t="shared" si="29"/>
        <v>0</v>
      </c>
      <c r="AV39" s="572">
        <f t="shared" si="29"/>
        <v>0</v>
      </c>
      <c r="AW39" s="572">
        <f t="shared" si="29"/>
        <v>0</v>
      </c>
      <c r="AX39" s="572">
        <f t="shared" si="29"/>
        <v>0</v>
      </c>
      <c r="AY39" s="572">
        <f t="shared" si="29"/>
        <v>0</v>
      </c>
      <c r="AZ39" s="572">
        <f t="shared" si="29"/>
        <v>0</v>
      </c>
      <c r="BA39" s="572">
        <f t="shared" si="29"/>
        <v>0</v>
      </c>
      <c r="BB39" s="572">
        <f t="shared" si="29"/>
        <v>0</v>
      </c>
      <c r="BC39" s="572">
        <f t="shared" si="29"/>
        <v>0</v>
      </c>
      <c r="BD39" s="572">
        <f t="shared" si="29"/>
        <v>0</v>
      </c>
      <c r="BE39" s="572">
        <f t="shared" si="29"/>
        <v>0</v>
      </c>
      <c r="BF39" s="572">
        <f t="shared" si="29"/>
        <v>0</v>
      </c>
      <c r="BG39" s="572">
        <f t="shared" si="29"/>
        <v>0</v>
      </c>
      <c r="BH39" s="572">
        <f t="shared" si="29"/>
        <v>0</v>
      </c>
      <c r="BI39" s="8"/>
      <c r="BJ39" s="8"/>
      <c r="BK39" s="8"/>
      <c r="BL39" s="8"/>
      <c r="BM39" s="8"/>
      <c r="BN39" s="8"/>
      <c r="BO39" s="8"/>
      <c r="BP39" s="8"/>
      <c r="BQ39" s="8"/>
      <c r="BR39" s="8"/>
      <c r="BS39" s="8"/>
      <c r="BT39" s="8"/>
      <c r="BU39" s="8"/>
      <c r="BV39" s="8"/>
      <c r="BW39" s="8"/>
      <c r="BX39" s="8"/>
      <c r="BY39" s="8"/>
      <c r="BZ39" s="8"/>
      <c r="CA39" s="8"/>
      <c r="CB39" s="8"/>
      <c r="CC39" s="8"/>
      <c r="CD39" s="8"/>
      <c r="CE39" s="8"/>
    </row>
    <row r="40" spans="1:83" x14ac:dyDescent="0.25">
      <c r="A40" s="134" t="s">
        <v>106</v>
      </c>
      <c r="B40" s="145">
        <v>11.5</v>
      </c>
      <c r="C40" s="157">
        <v>2.04</v>
      </c>
      <c r="D40" s="158">
        <v>2.04</v>
      </c>
      <c r="E40" s="159">
        <v>2.31</v>
      </c>
    </row>
    <row r="41" spans="1:83" x14ac:dyDescent="0.25">
      <c r="A41" s="134" t="s">
        <v>107</v>
      </c>
      <c r="B41" s="145">
        <v>12</v>
      </c>
      <c r="C41" s="157">
        <v>2.0499999999999998</v>
      </c>
      <c r="D41" s="158">
        <v>2.0499999999999998</v>
      </c>
      <c r="E41" s="159">
        <v>2.33</v>
      </c>
    </row>
    <row r="42" spans="1:83" x14ac:dyDescent="0.25">
      <c r="A42" s="134" t="s">
        <v>108</v>
      </c>
      <c r="B42" s="145">
        <v>12.5</v>
      </c>
      <c r="C42" s="157">
        <v>2.06</v>
      </c>
      <c r="D42" s="158">
        <v>2.06</v>
      </c>
      <c r="E42" s="159">
        <v>2.36</v>
      </c>
    </row>
    <row r="43" spans="1:83" x14ac:dyDescent="0.25">
      <c r="A43" s="134" t="s">
        <v>109</v>
      </c>
      <c r="B43" s="145">
        <v>13</v>
      </c>
      <c r="C43" s="157">
        <v>2.0699999999999998</v>
      </c>
      <c r="D43" s="158">
        <v>2.0699999999999998</v>
      </c>
      <c r="E43" s="159">
        <v>2.39</v>
      </c>
    </row>
    <row r="44" spans="1:83" x14ac:dyDescent="0.25">
      <c r="A44" s="134" t="s">
        <v>110</v>
      </c>
      <c r="B44" s="145">
        <v>13.5</v>
      </c>
      <c r="C44" s="157">
        <v>2.08</v>
      </c>
      <c r="D44" s="158">
        <v>2.08</v>
      </c>
      <c r="E44" s="159">
        <v>2.41</v>
      </c>
    </row>
    <row r="45" spans="1:83" x14ac:dyDescent="0.25">
      <c r="A45" s="134" t="s">
        <v>111</v>
      </c>
      <c r="B45" s="145">
        <v>14</v>
      </c>
      <c r="C45" s="157">
        <v>2.09</v>
      </c>
      <c r="D45" s="158">
        <v>2.09</v>
      </c>
      <c r="E45" s="159">
        <v>2.4300000000000002</v>
      </c>
    </row>
    <row r="46" spans="1:83" x14ac:dyDescent="0.25">
      <c r="A46" s="134" t="s">
        <v>112</v>
      </c>
      <c r="B46" s="145">
        <v>14.5</v>
      </c>
      <c r="C46" s="157">
        <v>2.1</v>
      </c>
      <c r="D46" s="158">
        <v>2.1</v>
      </c>
      <c r="E46" s="159">
        <v>2.46</v>
      </c>
    </row>
    <row r="47" spans="1:83" x14ac:dyDescent="0.25">
      <c r="A47" s="134" t="s">
        <v>113</v>
      </c>
      <c r="B47" s="145">
        <v>15</v>
      </c>
      <c r="C47" s="157">
        <v>2.11</v>
      </c>
      <c r="D47" s="158">
        <v>2.11</v>
      </c>
      <c r="E47" s="159">
        <v>2.48</v>
      </c>
    </row>
    <row r="48" spans="1:83" x14ac:dyDescent="0.25">
      <c r="A48" s="134" t="s">
        <v>114</v>
      </c>
      <c r="B48" s="145">
        <v>15.5</v>
      </c>
      <c r="C48" s="157">
        <v>2.12</v>
      </c>
      <c r="D48" s="158">
        <v>2.12</v>
      </c>
      <c r="E48" s="159">
        <v>2.5</v>
      </c>
    </row>
    <row r="49" spans="1:5" x14ac:dyDescent="0.25">
      <c r="A49" s="134" t="s">
        <v>115</v>
      </c>
      <c r="B49" s="145">
        <v>16</v>
      </c>
      <c r="C49" s="157">
        <v>2.13</v>
      </c>
      <c r="D49" s="158">
        <v>2.13</v>
      </c>
      <c r="E49" s="159">
        <v>2.5099999999999998</v>
      </c>
    </row>
    <row r="50" spans="1:5" x14ac:dyDescent="0.25">
      <c r="A50" s="134" t="s">
        <v>116</v>
      </c>
      <c r="B50" s="145">
        <v>16.5</v>
      </c>
      <c r="C50" s="157">
        <v>2.14</v>
      </c>
      <c r="D50" s="158">
        <v>2.14</v>
      </c>
      <c r="E50" s="159">
        <v>2.5299999999999998</v>
      </c>
    </row>
    <row r="51" spans="1:5" x14ac:dyDescent="0.25">
      <c r="A51" s="134" t="s">
        <v>117</v>
      </c>
      <c r="B51" s="145">
        <v>17</v>
      </c>
      <c r="C51" s="157">
        <v>2.16</v>
      </c>
      <c r="D51" s="158">
        <v>2.16</v>
      </c>
      <c r="E51" s="159">
        <v>2.5499999999999998</v>
      </c>
    </row>
    <row r="52" spans="1:5" x14ac:dyDescent="0.25">
      <c r="A52" s="134" t="s">
        <v>118</v>
      </c>
      <c r="B52" s="145">
        <v>17.5</v>
      </c>
      <c r="C52" s="157">
        <v>2.17</v>
      </c>
      <c r="D52" s="158">
        <v>2.17</v>
      </c>
      <c r="E52" s="159">
        <v>2.56</v>
      </c>
    </row>
    <row r="53" spans="1:5" x14ac:dyDescent="0.25">
      <c r="A53" s="134" t="s">
        <v>119</v>
      </c>
      <c r="B53" s="145">
        <v>18</v>
      </c>
      <c r="C53" s="157">
        <v>2.1800000000000002</v>
      </c>
      <c r="D53" s="158">
        <v>2.1800000000000002</v>
      </c>
      <c r="E53" s="159">
        <v>2.57</v>
      </c>
    </row>
    <row r="54" spans="1:5" x14ac:dyDescent="0.25">
      <c r="A54" s="134" t="s">
        <v>120</v>
      </c>
      <c r="B54" s="145">
        <v>18.5</v>
      </c>
      <c r="C54" s="157">
        <v>2.19</v>
      </c>
      <c r="D54" s="158">
        <v>2.2000000000000002</v>
      </c>
      <c r="E54" s="159">
        <v>2.58</v>
      </c>
    </row>
    <row r="55" spans="1:5" x14ac:dyDescent="0.25">
      <c r="A55" s="134" t="s">
        <v>121</v>
      </c>
      <c r="B55" s="145">
        <v>19</v>
      </c>
      <c r="C55" s="157">
        <v>2.21</v>
      </c>
      <c r="D55" s="158">
        <v>2.21</v>
      </c>
      <c r="E55" s="159">
        <v>2.59</v>
      </c>
    </row>
    <row r="56" spans="1:5" x14ac:dyDescent="0.25">
      <c r="A56" s="134" t="s">
        <v>122</v>
      </c>
      <c r="B56" s="145">
        <v>19.5</v>
      </c>
      <c r="C56" s="157">
        <v>2.2200000000000002</v>
      </c>
      <c r="D56" s="158">
        <v>2.23</v>
      </c>
      <c r="E56" s="159">
        <v>2.6</v>
      </c>
    </row>
    <row r="57" spans="1:5" x14ac:dyDescent="0.25">
      <c r="A57" s="134" t="s">
        <v>123</v>
      </c>
      <c r="B57" s="145">
        <v>20</v>
      </c>
      <c r="C57" s="157">
        <v>2.2400000000000002</v>
      </c>
      <c r="D57" s="158">
        <v>2.2400000000000002</v>
      </c>
      <c r="E57" s="159">
        <v>2.61</v>
      </c>
    </row>
    <row r="58" spans="1:5" x14ac:dyDescent="0.25">
      <c r="A58" s="134" t="s">
        <v>124</v>
      </c>
      <c r="B58" s="145">
        <v>20.5</v>
      </c>
      <c r="C58" s="157">
        <v>2.25</v>
      </c>
      <c r="D58" s="158">
        <v>2.25</v>
      </c>
      <c r="E58" s="159">
        <v>2.61</v>
      </c>
    </row>
    <row r="59" spans="1:5" x14ac:dyDescent="0.25">
      <c r="A59" s="134" t="s">
        <v>125</v>
      </c>
      <c r="B59" s="145">
        <v>21</v>
      </c>
      <c r="C59" s="157">
        <v>2.2599999999999998</v>
      </c>
      <c r="D59" s="158">
        <v>2.27</v>
      </c>
      <c r="E59" s="159">
        <v>2.62</v>
      </c>
    </row>
    <row r="60" spans="1:5" x14ac:dyDescent="0.25">
      <c r="A60" s="134" t="s">
        <v>126</v>
      </c>
      <c r="B60" s="145">
        <v>21.5</v>
      </c>
      <c r="C60" s="157">
        <v>2.2799999999999998</v>
      </c>
      <c r="D60" s="158">
        <v>2.2799999999999998</v>
      </c>
      <c r="E60" s="159">
        <v>2.62</v>
      </c>
    </row>
    <row r="61" spans="1:5" x14ac:dyDescent="0.25">
      <c r="A61" s="134" t="s">
        <v>127</v>
      </c>
      <c r="B61" s="145">
        <v>22</v>
      </c>
      <c r="C61" s="157">
        <v>2.29</v>
      </c>
      <c r="D61" s="158">
        <v>2.2999999999999998</v>
      </c>
      <c r="E61" s="159">
        <v>2.63</v>
      </c>
    </row>
    <row r="62" spans="1:5" x14ac:dyDescent="0.25">
      <c r="A62" s="134" t="s">
        <v>128</v>
      </c>
      <c r="B62" s="145">
        <v>22.5</v>
      </c>
      <c r="C62" s="157">
        <v>2.31</v>
      </c>
      <c r="D62" s="158">
        <v>2.31</v>
      </c>
      <c r="E62" s="159">
        <v>2.63</v>
      </c>
    </row>
    <row r="63" spans="1:5" x14ac:dyDescent="0.25">
      <c r="A63" s="134" t="s">
        <v>129</v>
      </c>
      <c r="B63" s="145">
        <v>23</v>
      </c>
      <c r="C63" s="157">
        <v>2.3199999999999998</v>
      </c>
      <c r="D63" s="158">
        <v>2.33</v>
      </c>
      <c r="E63" s="159">
        <v>2.63</v>
      </c>
    </row>
    <row r="64" spans="1:5" x14ac:dyDescent="0.25">
      <c r="A64" s="134" t="s">
        <v>130</v>
      </c>
      <c r="B64" s="145">
        <v>23.5</v>
      </c>
      <c r="C64" s="157">
        <v>2.33</v>
      </c>
      <c r="D64" s="158">
        <v>2.34</v>
      </c>
      <c r="E64" s="159">
        <v>2.63</v>
      </c>
    </row>
    <row r="65" spans="1:83" x14ac:dyDescent="0.25">
      <c r="A65" s="134" t="s">
        <v>131</v>
      </c>
      <c r="B65" s="145">
        <v>24</v>
      </c>
      <c r="C65" s="157">
        <v>2.35</v>
      </c>
      <c r="D65" s="158">
        <v>2.36</v>
      </c>
      <c r="E65" s="159">
        <v>2.63</v>
      </c>
    </row>
    <row r="66" spans="1:83" x14ac:dyDescent="0.25">
      <c r="A66" s="134" t="s">
        <v>132</v>
      </c>
      <c r="B66" s="145">
        <v>24.5</v>
      </c>
      <c r="C66" s="157">
        <v>2.36</v>
      </c>
      <c r="D66" s="158">
        <v>2.37</v>
      </c>
      <c r="E66" s="159">
        <v>2.63</v>
      </c>
    </row>
    <row r="67" spans="1:83" x14ac:dyDescent="0.25">
      <c r="A67" s="134" t="s">
        <v>133</v>
      </c>
      <c r="B67" s="145">
        <v>25</v>
      </c>
      <c r="C67" s="157">
        <v>2.37</v>
      </c>
      <c r="D67" s="158">
        <v>2.38</v>
      </c>
      <c r="E67" s="159">
        <v>2.63</v>
      </c>
    </row>
    <row r="68" spans="1:83" x14ac:dyDescent="0.25">
      <c r="A68" s="134" t="s">
        <v>134</v>
      </c>
      <c r="B68" s="145">
        <v>25.5</v>
      </c>
      <c r="C68" s="157">
        <v>2.39</v>
      </c>
      <c r="D68" s="158">
        <v>2.4</v>
      </c>
      <c r="E68" s="159">
        <v>2.63</v>
      </c>
    </row>
    <row r="69" spans="1:83" x14ac:dyDescent="0.25">
      <c r="A69" s="134" t="s">
        <v>135</v>
      </c>
      <c r="B69" s="145">
        <v>26</v>
      </c>
      <c r="C69" s="157">
        <v>2.4</v>
      </c>
      <c r="D69" s="158">
        <v>2.41</v>
      </c>
      <c r="E69" s="159">
        <v>2.63</v>
      </c>
    </row>
    <row r="70" spans="1:83" x14ac:dyDescent="0.25">
      <c r="A70" s="134" t="s">
        <v>136</v>
      </c>
      <c r="B70" s="145">
        <v>26.5</v>
      </c>
      <c r="C70" s="157">
        <v>2.41</v>
      </c>
      <c r="D70" s="158">
        <v>2.42</v>
      </c>
      <c r="E70" s="159">
        <v>2.62</v>
      </c>
    </row>
    <row r="71" spans="1:83" x14ac:dyDescent="0.25">
      <c r="A71" s="134" t="s">
        <v>137</v>
      </c>
      <c r="B71" s="145">
        <v>27</v>
      </c>
      <c r="C71" s="157">
        <v>2.42</v>
      </c>
      <c r="D71" s="158">
        <v>2.4300000000000002</v>
      </c>
      <c r="E71" s="159">
        <v>2.62</v>
      </c>
      <c r="H71" s="5"/>
      <c r="I71" s="5"/>
      <c r="J71" s="5"/>
      <c r="K71" s="5"/>
      <c r="L71" s="5"/>
      <c r="M71" s="5"/>
      <c r="N71" s="5"/>
      <c r="O71" s="5"/>
      <c r="P71" s="5"/>
      <c r="Q71" s="5"/>
      <c r="R71" s="5"/>
      <c r="S71" s="5"/>
      <c r="T71" s="5"/>
      <c r="U71" s="5"/>
      <c r="V71" s="5"/>
      <c r="W71" s="5"/>
      <c r="X71" s="5"/>
      <c r="Y71" s="5"/>
      <c r="Z71" s="5"/>
      <c r="AA71" s="5"/>
      <c r="AB71" s="5"/>
      <c r="AC71" s="5"/>
      <c r="AD71" s="5"/>
      <c r="AE71" s="5"/>
      <c r="AF71" s="5"/>
      <c r="AG71" s="5"/>
      <c r="AH71" s="5"/>
      <c r="AI71" s="5"/>
      <c r="AJ71" s="5"/>
      <c r="AK71" s="5"/>
      <c r="AL71" s="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row>
    <row r="72" spans="1:83" x14ac:dyDescent="0.25">
      <c r="A72" s="134" t="s">
        <v>138</v>
      </c>
      <c r="B72" s="145">
        <v>27.5</v>
      </c>
      <c r="C72" s="157">
        <v>2.4300000000000002</v>
      </c>
      <c r="D72" s="158">
        <v>2.4500000000000002</v>
      </c>
      <c r="E72" s="159">
        <v>2.61</v>
      </c>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row>
    <row r="73" spans="1:83" x14ac:dyDescent="0.25">
      <c r="A73" s="134" t="s">
        <v>139</v>
      </c>
      <c r="B73" s="145">
        <v>28</v>
      </c>
      <c r="C73" s="157">
        <v>2.44</v>
      </c>
      <c r="D73" s="158">
        <v>2.46</v>
      </c>
      <c r="E73" s="159">
        <v>2.61</v>
      </c>
      <c r="H73" s="5"/>
      <c r="I73" s="5"/>
      <c r="J73" s="5"/>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row>
    <row r="74" spans="1:83" x14ac:dyDescent="0.25">
      <c r="A74" s="134" t="s">
        <v>140</v>
      </c>
      <c r="B74" s="145">
        <v>28.5</v>
      </c>
      <c r="C74" s="157">
        <v>2.46</v>
      </c>
      <c r="D74" s="158">
        <v>2.4700000000000002</v>
      </c>
      <c r="E74" s="159">
        <v>2.6</v>
      </c>
      <c r="H74" s="5"/>
      <c r="I74" s="5"/>
      <c r="J74" s="5"/>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row>
    <row r="75" spans="1:83" x14ac:dyDescent="0.25">
      <c r="A75" s="134" t="s">
        <v>141</v>
      </c>
      <c r="B75" s="145">
        <v>29</v>
      </c>
      <c r="C75" s="157">
        <v>2.4700000000000002</v>
      </c>
      <c r="D75" s="158">
        <v>2.48</v>
      </c>
      <c r="E75" s="159">
        <v>2.6</v>
      </c>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row>
    <row r="76" spans="1:83" x14ac:dyDescent="0.25">
      <c r="A76" s="134" t="s">
        <v>142</v>
      </c>
      <c r="B76" s="145">
        <v>29.5</v>
      </c>
      <c r="C76" s="157">
        <v>2.48</v>
      </c>
      <c r="D76" s="158">
        <v>2.4900000000000002</v>
      </c>
      <c r="E76" s="159">
        <v>2.59</v>
      </c>
      <c r="H76" s="5"/>
      <c r="I76" s="5"/>
      <c r="J76" s="5"/>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row>
    <row r="77" spans="1:83" x14ac:dyDescent="0.25">
      <c r="A77" s="134" t="s">
        <v>143</v>
      </c>
      <c r="B77" s="145">
        <v>30</v>
      </c>
      <c r="C77" s="157">
        <v>2.4900000000000002</v>
      </c>
      <c r="D77" s="158">
        <v>2.5</v>
      </c>
      <c r="E77" s="159">
        <v>2.58</v>
      </c>
      <c r="H77" s="5"/>
      <c r="I77" s="5"/>
      <c r="J77" s="5"/>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row>
    <row r="78" spans="1:83" x14ac:dyDescent="0.25">
      <c r="A78" s="134" t="s">
        <v>144</v>
      </c>
      <c r="B78" s="145">
        <v>30.5</v>
      </c>
      <c r="C78" s="157">
        <v>2.5</v>
      </c>
      <c r="D78" s="158">
        <v>2.5099999999999998</v>
      </c>
      <c r="E78" s="159">
        <v>2.58</v>
      </c>
      <c r="H78" s="5"/>
      <c r="I78" s="5"/>
      <c r="J78" s="5"/>
      <c r="K78" s="5"/>
      <c r="L78" s="5"/>
      <c r="M78" s="5"/>
      <c r="N78" s="5"/>
      <c r="O78" s="5"/>
      <c r="P78" s="5"/>
      <c r="Q78" s="5"/>
      <c r="R78" s="5"/>
      <c r="S78" s="5"/>
      <c r="T78" s="5"/>
      <c r="U78" s="5"/>
      <c r="V78" s="5"/>
      <c r="W78" s="5"/>
      <c r="X78" s="5"/>
      <c r="Y78" s="5"/>
      <c r="Z78" s="5"/>
      <c r="AA78" s="5"/>
      <c r="AB78" s="5"/>
      <c r="AC78" s="5"/>
      <c r="AD78" s="5"/>
      <c r="AE78" s="5"/>
      <c r="AF78" s="5"/>
      <c r="AG78" s="5"/>
      <c r="AH78" s="5"/>
      <c r="AI78" s="5"/>
      <c r="AJ78" s="5"/>
      <c r="AK78" s="5"/>
      <c r="AL78" s="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row>
    <row r="79" spans="1:83" x14ac:dyDescent="0.25">
      <c r="A79" s="134" t="s">
        <v>145</v>
      </c>
      <c r="B79" s="145">
        <v>31</v>
      </c>
      <c r="C79" s="157">
        <v>2.5</v>
      </c>
      <c r="D79" s="158">
        <v>2.52</v>
      </c>
      <c r="E79" s="159">
        <v>2.57</v>
      </c>
      <c r="H79" s="5"/>
      <c r="I79" s="5"/>
      <c r="J79" s="5"/>
      <c r="K79" s="5"/>
      <c r="L79" s="5"/>
      <c r="M79" s="5"/>
      <c r="N79" s="5"/>
      <c r="O79" s="5"/>
      <c r="P79" s="5"/>
      <c r="Q79" s="5"/>
      <c r="R79" s="5"/>
      <c r="S79" s="5"/>
      <c r="T79" s="5"/>
      <c r="U79" s="5"/>
      <c r="V79" s="5"/>
      <c r="W79" s="5"/>
      <c r="X79" s="5"/>
      <c r="Y79" s="5"/>
      <c r="Z79" s="5"/>
      <c r="AA79" s="5"/>
      <c r="AB79" s="5"/>
      <c r="AC79" s="5"/>
      <c r="AD79" s="5"/>
      <c r="AE79" s="5"/>
      <c r="AF79" s="5"/>
      <c r="AG79" s="5"/>
      <c r="AH79" s="5"/>
      <c r="AI79" s="5"/>
      <c r="AJ79" s="5"/>
      <c r="AK79" s="5"/>
      <c r="AL79" s="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row>
    <row r="80" spans="1:83" x14ac:dyDescent="0.25">
      <c r="A80" s="134" t="s">
        <v>146</v>
      </c>
      <c r="B80" s="145">
        <v>31.5</v>
      </c>
      <c r="C80" s="157">
        <v>2.5099999999999998</v>
      </c>
      <c r="D80" s="158">
        <v>2.5299999999999998</v>
      </c>
      <c r="E80" s="159">
        <v>2.56</v>
      </c>
      <c r="H80" s="5"/>
      <c r="I80" s="5"/>
      <c r="J80" s="5"/>
      <c r="K80" s="5"/>
      <c r="L80" s="5"/>
      <c r="M80" s="5"/>
      <c r="N80" s="5"/>
      <c r="O80" s="5"/>
      <c r="P80" s="5"/>
      <c r="Q80" s="5"/>
      <c r="R80" s="5"/>
      <c r="S80" s="5"/>
      <c r="T80" s="5"/>
      <c r="U80" s="5"/>
      <c r="V80" s="5"/>
      <c r="W80" s="5"/>
      <c r="X80" s="5"/>
      <c r="Y80" s="5"/>
      <c r="Z80" s="5"/>
      <c r="AA80" s="5"/>
      <c r="AB80" s="5"/>
      <c r="AC80" s="5"/>
      <c r="AD80" s="5"/>
      <c r="AE80" s="5"/>
      <c r="AF80" s="5"/>
      <c r="AG80" s="5"/>
      <c r="AH80" s="5"/>
      <c r="AI80" s="5"/>
      <c r="AJ80" s="5"/>
      <c r="AK80" s="5"/>
      <c r="AL80" s="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row>
    <row r="81" spans="1:83" x14ac:dyDescent="0.25">
      <c r="A81" s="134" t="s">
        <v>147</v>
      </c>
      <c r="B81" s="145">
        <v>32</v>
      </c>
      <c r="C81" s="157">
        <v>2.52</v>
      </c>
      <c r="D81" s="158">
        <v>2.54</v>
      </c>
      <c r="E81" s="159">
        <v>2.5499999999999998</v>
      </c>
      <c r="H81" s="5"/>
      <c r="I81" s="5"/>
      <c r="J81" s="5"/>
      <c r="K81" s="5"/>
      <c r="L81" s="5"/>
      <c r="M81" s="5"/>
      <c r="N81" s="5"/>
      <c r="O81" s="5"/>
      <c r="P81" s="5"/>
      <c r="Q81" s="5"/>
      <c r="R81" s="5"/>
      <c r="S81" s="5"/>
      <c r="T81" s="5"/>
      <c r="U81" s="5"/>
      <c r="V81" s="5"/>
      <c r="W81" s="5"/>
      <c r="X81" s="5"/>
      <c r="Y81" s="5"/>
      <c r="Z81" s="5"/>
      <c r="AA81" s="5"/>
      <c r="AB81" s="5"/>
      <c r="AC81" s="5"/>
      <c r="AD81" s="5"/>
      <c r="AE81" s="5"/>
      <c r="AF81" s="5"/>
      <c r="AG81" s="5"/>
      <c r="AH81" s="5"/>
      <c r="AI81" s="5"/>
      <c r="AJ81" s="5"/>
      <c r="AK81" s="5"/>
      <c r="AL81" s="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row>
    <row r="82" spans="1:83" x14ac:dyDescent="0.25">
      <c r="A82" s="134" t="s">
        <v>148</v>
      </c>
      <c r="B82" s="145">
        <v>32.5</v>
      </c>
      <c r="C82" s="157">
        <v>2.5299999999999998</v>
      </c>
      <c r="D82" s="158">
        <v>2.54</v>
      </c>
      <c r="E82" s="159">
        <v>2.54</v>
      </c>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row>
    <row r="83" spans="1:83" x14ac:dyDescent="0.25">
      <c r="A83" s="134" t="s">
        <v>149</v>
      </c>
      <c r="B83" s="145">
        <v>33</v>
      </c>
      <c r="C83" s="157">
        <v>2.54</v>
      </c>
      <c r="D83" s="158">
        <v>2.5499999999999998</v>
      </c>
      <c r="E83" s="159">
        <v>2.54</v>
      </c>
      <c r="H83" s="5"/>
      <c r="I83" s="5"/>
      <c r="J83" s="5"/>
      <c r="K83" s="5"/>
      <c r="L83" s="5"/>
      <c r="M83" s="5"/>
      <c r="N83" s="5"/>
      <c r="O83" s="5"/>
      <c r="P83" s="5"/>
      <c r="Q83" s="5"/>
      <c r="R83" s="5"/>
      <c r="S83" s="5"/>
      <c r="T83" s="5"/>
      <c r="U83" s="5"/>
      <c r="V83" s="5"/>
      <c r="W83" s="5"/>
      <c r="X83" s="5"/>
      <c r="Y83" s="5"/>
      <c r="Z83" s="5"/>
      <c r="AA83" s="5"/>
      <c r="AB83" s="5"/>
      <c r="AC83" s="5"/>
      <c r="AD83" s="5"/>
      <c r="AE83" s="5"/>
      <c r="AF83" s="5"/>
      <c r="AG83" s="5"/>
      <c r="AH83" s="5"/>
      <c r="AI83" s="5"/>
      <c r="AJ83" s="5"/>
      <c r="AK83" s="5"/>
      <c r="AL83" s="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row>
    <row r="84" spans="1:83" x14ac:dyDescent="0.25">
      <c r="A84" s="134" t="s">
        <v>150</v>
      </c>
      <c r="B84" s="145">
        <v>33.5</v>
      </c>
      <c r="C84" s="157">
        <v>2.5499999999999998</v>
      </c>
      <c r="D84" s="158">
        <v>2.56</v>
      </c>
      <c r="E84" s="159">
        <v>2.5299999999999998</v>
      </c>
      <c r="H84" s="5"/>
      <c r="I84" s="5"/>
      <c r="J84" s="5"/>
      <c r="K84" s="5"/>
      <c r="L84" s="5"/>
      <c r="M84" s="5"/>
      <c r="N84" s="5"/>
      <c r="O84" s="5"/>
      <c r="P84" s="5"/>
      <c r="Q84" s="5"/>
      <c r="R84" s="5"/>
      <c r="S84" s="5"/>
      <c r="T84" s="5"/>
      <c r="U84" s="5"/>
      <c r="V84" s="5"/>
      <c r="W84" s="5"/>
      <c r="X84" s="5"/>
      <c r="Y84" s="5"/>
      <c r="Z84" s="5"/>
      <c r="AA84" s="5"/>
      <c r="AB84" s="5"/>
      <c r="AC84" s="5"/>
      <c r="AD84" s="5"/>
      <c r="AE84" s="5"/>
      <c r="AF84" s="5"/>
      <c r="AG84" s="5"/>
      <c r="AH84" s="5"/>
      <c r="AI84" s="5"/>
      <c r="AJ84" s="5"/>
      <c r="AK84" s="5"/>
      <c r="AL84" s="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row>
    <row r="85" spans="1:83" x14ac:dyDescent="0.25">
      <c r="A85" s="134" t="s">
        <v>151</v>
      </c>
      <c r="B85" s="145">
        <v>34</v>
      </c>
      <c r="C85" s="157">
        <v>2.5499999999999998</v>
      </c>
      <c r="D85" s="158">
        <v>2.57</v>
      </c>
      <c r="E85" s="159">
        <v>2.52</v>
      </c>
      <c r="H85" s="5"/>
      <c r="I85" s="5"/>
      <c r="J85" s="5"/>
      <c r="K85" s="5"/>
      <c r="L85" s="5"/>
      <c r="M85" s="5"/>
      <c r="N85" s="5"/>
      <c r="O85" s="5"/>
      <c r="P85" s="5"/>
      <c r="Q85" s="5"/>
      <c r="R85" s="5"/>
      <c r="S85" s="5"/>
      <c r="T85" s="5"/>
      <c r="U85" s="5"/>
      <c r="V85" s="5"/>
      <c r="W85" s="5"/>
      <c r="X85" s="5"/>
      <c r="Y85" s="5"/>
      <c r="Z85" s="5"/>
      <c r="AA85" s="5"/>
      <c r="AB85" s="5"/>
      <c r="AC85" s="5"/>
      <c r="AD85" s="5"/>
      <c r="AE85" s="5"/>
      <c r="AF85" s="5"/>
      <c r="AG85" s="5"/>
      <c r="AH85" s="5"/>
      <c r="AI85" s="5"/>
      <c r="AJ85" s="5"/>
      <c r="AK85" s="5"/>
      <c r="AL85" s="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row>
    <row r="86" spans="1:83" x14ac:dyDescent="0.25">
      <c r="A86" s="134" t="s">
        <v>152</v>
      </c>
      <c r="B86" s="145">
        <v>34.5</v>
      </c>
      <c r="C86" s="157">
        <v>2.56</v>
      </c>
      <c r="D86" s="158">
        <v>2.57</v>
      </c>
      <c r="E86" s="159">
        <v>2.5099999999999998</v>
      </c>
      <c r="H86" s="5"/>
      <c r="I86" s="5"/>
      <c r="J86" s="5"/>
      <c r="K86" s="5"/>
      <c r="L86" s="5"/>
      <c r="M86" s="5"/>
      <c r="N86" s="5"/>
      <c r="O86" s="5"/>
      <c r="P86" s="5"/>
      <c r="Q86" s="5"/>
      <c r="R86" s="5"/>
      <c r="S86" s="5"/>
      <c r="T86" s="5"/>
      <c r="U86" s="5"/>
      <c r="V86" s="5"/>
      <c r="W86" s="5"/>
      <c r="X86" s="5"/>
      <c r="Y86" s="5"/>
      <c r="Z86" s="5"/>
      <c r="AA86" s="5"/>
      <c r="AB86" s="5"/>
      <c r="AC86" s="5"/>
      <c r="AD86" s="5"/>
      <c r="AE86" s="5"/>
      <c r="AF86" s="5"/>
      <c r="AG86" s="5"/>
      <c r="AH86" s="5"/>
      <c r="AI86" s="5"/>
      <c r="AJ86" s="5"/>
      <c r="AK86" s="5"/>
      <c r="AL86" s="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row>
    <row r="87" spans="1:83" x14ac:dyDescent="0.25">
      <c r="A87" s="134" t="s">
        <v>153</v>
      </c>
      <c r="B87" s="145">
        <v>35</v>
      </c>
      <c r="C87" s="157">
        <v>2.57</v>
      </c>
      <c r="D87" s="158">
        <v>2.58</v>
      </c>
      <c r="E87" s="159">
        <v>2.5099999999999998</v>
      </c>
      <c r="H87" s="5"/>
      <c r="I87" s="5"/>
      <c r="J87" s="5"/>
      <c r="K87" s="5"/>
      <c r="L87" s="5"/>
      <c r="M87" s="5"/>
      <c r="N87" s="5"/>
      <c r="O87" s="5"/>
      <c r="P87" s="5"/>
      <c r="Q87" s="5"/>
      <c r="R87" s="5"/>
      <c r="S87" s="5"/>
      <c r="T87" s="5"/>
      <c r="U87" s="5"/>
      <c r="V87" s="5"/>
      <c r="W87" s="5"/>
      <c r="X87" s="5"/>
      <c r="Y87" s="5"/>
      <c r="Z87" s="5"/>
      <c r="AA87" s="5"/>
      <c r="AB87" s="5"/>
      <c r="AC87" s="5"/>
      <c r="AD87" s="5"/>
      <c r="AE87" s="5"/>
      <c r="AF87" s="5"/>
      <c r="AG87" s="5"/>
      <c r="AH87" s="5"/>
      <c r="AI87" s="5"/>
      <c r="AJ87" s="5"/>
      <c r="AK87" s="5"/>
      <c r="AL87" s="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row>
    <row r="88" spans="1:83" x14ac:dyDescent="0.25">
      <c r="A88" s="134" t="s">
        <v>154</v>
      </c>
      <c r="B88" s="145">
        <v>35.5</v>
      </c>
      <c r="C88" s="157">
        <v>2.57</v>
      </c>
      <c r="D88" s="158">
        <v>2.58</v>
      </c>
      <c r="E88" s="159">
        <v>2.5</v>
      </c>
      <c r="H88" s="5"/>
      <c r="I88" s="5"/>
      <c r="J88" s="5"/>
      <c r="K88" s="5"/>
      <c r="L88" s="5"/>
      <c r="M88" s="5"/>
      <c r="N88" s="5"/>
      <c r="O88" s="5"/>
      <c r="P88" s="5"/>
      <c r="Q88" s="5"/>
      <c r="R88" s="5"/>
      <c r="S88" s="5"/>
      <c r="T88" s="5"/>
      <c r="U88" s="5"/>
      <c r="V88" s="5"/>
      <c r="W88" s="5"/>
      <c r="X88" s="5"/>
      <c r="Y88" s="5"/>
      <c r="Z88" s="5"/>
      <c r="AA88" s="5"/>
      <c r="AB88" s="5"/>
      <c r="AC88" s="5"/>
      <c r="AD88" s="5"/>
      <c r="AE88" s="5"/>
      <c r="AF88" s="5"/>
      <c r="AG88" s="5"/>
      <c r="AH88" s="5"/>
      <c r="AI88" s="5"/>
      <c r="AJ88" s="5"/>
      <c r="AK88" s="5"/>
      <c r="AL88" s="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row>
    <row r="89" spans="1:83" x14ac:dyDescent="0.25">
      <c r="A89" s="134" t="s">
        <v>155</v>
      </c>
      <c r="B89" s="145">
        <v>36</v>
      </c>
      <c r="C89" s="157">
        <v>2.58</v>
      </c>
      <c r="D89" s="158">
        <v>2.59</v>
      </c>
      <c r="E89" s="159">
        <v>2.4900000000000002</v>
      </c>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row>
    <row r="90" spans="1:83" x14ac:dyDescent="0.25">
      <c r="A90" s="134" t="s">
        <v>156</v>
      </c>
      <c r="B90" s="145">
        <v>36.5</v>
      </c>
      <c r="C90" s="157">
        <v>2.58</v>
      </c>
      <c r="D90" s="158">
        <v>2.59</v>
      </c>
      <c r="E90" s="159">
        <v>2.4900000000000002</v>
      </c>
      <c r="H90" s="5"/>
      <c r="I90" s="5"/>
      <c r="J90" s="5"/>
      <c r="K90" s="5"/>
      <c r="L90" s="5"/>
      <c r="M90" s="5"/>
      <c r="N90" s="5"/>
      <c r="O90" s="5"/>
      <c r="P90" s="5"/>
      <c r="Q90" s="5"/>
      <c r="R90" s="5"/>
      <c r="S90" s="5"/>
      <c r="T90" s="5"/>
      <c r="U90" s="5"/>
      <c r="V90" s="5"/>
      <c r="W90" s="5"/>
      <c r="X90" s="5"/>
      <c r="Y90" s="5"/>
      <c r="Z90" s="5"/>
      <c r="AA90" s="5"/>
      <c r="AB90" s="5"/>
      <c r="AC90" s="5"/>
      <c r="AD90" s="5"/>
      <c r="AE90" s="5"/>
      <c r="AF90" s="5"/>
      <c r="AG90" s="5"/>
      <c r="AH90" s="5"/>
      <c r="AI90" s="5"/>
      <c r="AJ90" s="5"/>
      <c r="AK90" s="5"/>
      <c r="AL90" s="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row>
    <row r="91" spans="1:83" x14ac:dyDescent="0.25">
      <c r="A91" s="134" t="s">
        <v>157</v>
      </c>
      <c r="B91" s="145">
        <v>37</v>
      </c>
      <c r="C91" s="157">
        <v>2.59</v>
      </c>
      <c r="D91" s="158">
        <v>2.6</v>
      </c>
      <c r="E91" s="159">
        <v>2.48</v>
      </c>
      <c r="H91" s="5"/>
      <c r="I91" s="5"/>
      <c r="J91" s="5"/>
      <c r="K91" s="5"/>
      <c r="L91" s="5"/>
      <c r="M91" s="5"/>
      <c r="N91" s="5"/>
      <c r="O91" s="5"/>
      <c r="P91" s="5"/>
      <c r="Q91" s="5"/>
      <c r="R91" s="5"/>
      <c r="S91" s="5"/>
      <c r="T91" s="5"/>
      <c r="U91" s="5"/>
      <c r="V91" s="5"/>
      <c r="W91" s="5"/>
      <c r="X91" s="5"/>
      <c r="Y91" s="5"/>
      <c r="Z91" s="5"/>
      <c r="AA91" s="5"/>
      <c r="AB91" s="5"/>
      <c r="AC91" s="5"/>
      <c r="AD91" s="5"/>
      <c r="AE91" s="5"/>
      <c r="AF91" s="5"/>
      <c r="AG91" s="5"/>
      <c r="AH91" s="5"/>
      <c r="AI91" s="5"/>
      <c r="AJ91" s="5"/>
      <c r="AK91" s="5"/>
      <c r="AL91" s="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row>
    <row r="92" spans="1:83" x14ac:dyDescent="0.25">
      <c r="A92" s="134" t="s">
        <v>158</v>
      </c>
      <c r="B92" s="145">
        <v>37.5</v>
      </c>
      <c r="C92" s="157">
        <v>2.59</v>
      </c>
      <c r="D92" s="158">
        <v>2.6</v>
      </c>
      <c r="E92" s="159">
        <v>2.4700000000000002</v>
      </c>
      <c r="H92" s="5"/>
      <c r="I92" s="5"/>
      <c r="J92" s="5"/>
      <c r="K92" s="5"/>
      <c r="L92" s="5"/>
      <c r="M92" s="5"/>
      <c r="N92" s="5"/>
      <c r="O92" s="5"/>
      <c r="P92" s="5"/>
      <c r="Q92" s="5"/>
      <c r="R92" s="5"/>
      <c r="S92" s="5"/>
      <c r="T92" s="5"/>
      <c r="U92" s="5"/>
      <c r="V92" s="5"/>
      <c r="W92" s="5"/>
      <c r="X92" s="5"/>
      <c r="Y92" s="5"/>
      <c r="Z92" s="5"/>
      <c r="AA92" s="5"/>
      <c r="AB92" s="5"/>
      <c r="AC92" s="5"/>
      <c r="AD92" s="5"/>
      <c r="AE92" s="5"/>
      <c r="AF92" s="5"/>
      <c r="AG92" s="5"/>
      <c r="AH92" s="5"/>
      <c r="AI92" s="5"/>
      <c r="AJ92" s="5"/>
      <c r="AK92" s="5"/>
      <c r="AL92" s="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row>
    <row r="93" spans="1:83" x14ac:dyDescent="0.25">
      <c r="A93" s="134" t="s">
        <v>159</v>
      </c>
      <c r="B93" s="145">
        <v>38</v>
      </c>
      <c r="C93" s="157">
        <v>2.6</v>
      </c>
      <c r="D93" s="158">
        <v>2.61</v>
      </c>
      <c r="E93" s="159">
        <v>2.4700000000000002</v>
      </c>
      <c r="H93" s="5"/>
      <c r="I93" s="5"/>
      <c r="J93" s="5"/>
      <c r="K93" s="5"/>
      <c r="L93" s="5"/>
      <c r="M93" s="5"/>
      <c r="N93" s="5"/>
      <c r="O93" s="5"/>
      <c r="P93" s="5"/>
      <c r="Q93" s="5"/>
      <c r="R93" s="5"/>
      <c r="S93" s="5"/>
      <c r="T93" s="5"/>
      <c r="U93" s="5"/>
      <c r="V93" s="5"/>
      <c r="W93" s="5"/>
      <c r="X93" s="5"/>
      <c r="Y93" s="5"/>
      <c r="Z93" s="5"/>
      <c r="AA93" s="5"/>
      <c r="AB93" s="5"/>
      <c r="AC93" s="5"/>
      <c r="AD93" s="5"/>
      <c r="AE93" s="5"/>
      <c r="AF93" s="5"/>
      <c r="AG93" s="5"/>
      <c r="AH93" s="5"/>
      <c r="AI93" s="5"/>
      <c r="AJ93" s="5"/>
      <c r="AK93" s="5"/>
      <c r="AL93" s="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row>
    <row r="94" spans="1:83" x14ac:dyDescent="0.25">
      <c r="A94" s="134" t="s">
        <v>160</v>
      </c>
      <c r="B94" s="145">
        <v>38.5</v>
      </c>
      <c r="C94" s="157">
        <v>2.6</v>
      </c>
      <c r="D94" s="158">
        <v>2.61</v>
      </c>
      <c r="E94" s="159">
        <v>2.46</v>
      </c>
      <c r="H94" s="5"/>
      <c r="I94" s="5"/>
      <c r="J94" s="5"/>
      <c r="K94" s="5"/>
      <c r="L94" s="5"/>
      <c r="M94" s="5"/>
      <c r="N94" s="5"/>
      <c r="O94" s="5"/>
      <c r="P94" s="5"/>
      <c r="Q94" s="5"/>
      <c r="R94" s="5"/>
      <c r="S94" s="5"/>
      <c r="T94" s="5"/>
      <c r="U94" s="5"/>
      <c r="V94" s="5"/>
      <c r="W94" s="5"/>
      <c r="X94" s="5"/>
      <c r="Y94" s="5"/>
      <c r="Z94" s="5"/>
      <c r="AA94" s="5"/>
      <c r="AB94" s="5"/>
      <c r="AC94" s="5"/>
      <c r="AD94" s="5"/>
      <c r="AE94" s="5"/>
      <c r="AF94" s="5"/>
      <c r="AG94" s="5"/>
      <c r="AH94" s="5"/>
      <c r="AI94" s="5"/>
      <c r="AJ94" s="5"/>
      <c r="AK94" s="5"/>
      <c r="AL94" s="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row>
    <row r="95" spans="1:83" x14ac:dyDescent="0.25">
      <c r="A95" s="134" t="s">
        <v>161</v>
      </c>
      <c r="B95" s="145">
        <v>39</v>
      </c>
      <c r="C95" s="157">
        <v>2.6</v>
      </c>
      <c r="D95" s="158">
        <v>2.62</v>
      </c>
      <c r="E95" s="159">
        <v>2.46</v>
      </c>
      <c r="H95" s="5"/>
      <c r="I95" s="5"/>
      <c r="J95" s="5"/>
      <c r="K95" s="5"/>
      <c r="L95" s="5"/>
      <c r="M95" s="5"/>
      <c r="N95" s="5"/>
      <c r="O95" s="5"/>
      <c r="P95" s="5"/>
      <c r="Q95" s="5"/>
      <c r="R95" s="5"/>
      <c r="S95" s="5"/>
      <c r="T95" s="5"/>
      <c r="U95" s="5"/>
      <c r="V95" s="5"/>
      <c r="W95" s="5"/>
      <c r="X95" s="5"/>
      <c r="Y95" s="5"/>
      <c r="Z95" s="5"/>
      <c r="AA95" s="5"/>
      <c r="AB95" s="5"/>
      <c r="AC95" s="5"/>
      <c r="AD95" s="5"/>
      <c r="AE95" s="5"/>
      <c r="AF95" s="5"/>
      <c r="AG95" s="5"/>
      <c r="AH95" s="5"/>
      <c r="AI95" s="5"/>
      <c r="AJ95" s="5"/>
      <c r="AK95" s="5"/>
      <c r="AL95" s="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row>
    <row r="96" spans="1:83" x14ac:dyDescent="0.25">
      <c r="A96" s="134" t="s">
        <v>162</v>
      </c>
      <c r="B96" s="145">
        <v>39.5</v>
      </c>
      <c r="C96" s="157">
        <v>2.61</v>
      </c>
      <c r="D96" s="158">
        <v>2.62</v>
      </c>
      <c r="E96" s="159">
        <v>2.4500000000000002</v>
      </c>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row>
    <row r="97" spans="1:83" x14ac:dyDescent="0.25">
      <c r="A97" s="134" t="s">
        <v>163</v>
      </c>
      <c r="B97" s="145">
        <v>40</v>
      </c>
      <c r="C97" s="157">
        <v>2.61</v>
      </c>
      <c r="D97" s="158">
        <v>2.62</v>
      </c>
      <c r="E97" s="159">
        <v>2.4500000000000002</v>
      </c>
      <c r="H97" s="5"/>
      <c r="I97" s="5"/>
      <c r="J97" s="5"/>
      <c r="K97" s="5"/>
      <c r="L97" s="5"/>
      <c r="M97" s="5"/>
      <c r="N97" s="5"/>
      <c r="O97" s="5"/>
      <c r="P97" s="5"/>
      <c r="Q97" s="5"/>
      <c r="R97" s="5"/>
      <c r="S97" s="5"/>
      <c r="T97" s="5"/>
      <c r="U97" s="5"/>
      <c r="V97" s="5"/>
      <c r="W97" s="5"/>
      <c r="X97" s="5"/>
      <c r="Y97" s="5"/>
      <c r="Z97" s="5"/>
      <c r="AA97" s="5"/>
      <c r="AB97" s="5"/>
      <c r="AC97" s="5"/>
      <c r="AD97" s="5"/>
      <c r="AE97" s="5"/>
      <c r="AF97" s="5"/>
      <c r="AG97" s="5"/>
      <c r="AH97" s="5"/>
      <c r="AI97" s="5"/>
      <c r="AJ97" s="5"/>
      <c r="AK97" s="5"/>
      <c r="AL97" s="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row>
    <row r="98" spans="1:83" x14ac:dyDescent="0.25">
      <c r="A98" s="134" t="s">
        <v>164</v>
      </c>
      <c r="B98" s="145">
        <v>40.5</v>
      </c>
      <c r="C98" s="157">
        <v>2.61</v>
      </c>
      <c r="D98" s="158">
        <v>2.62</v>
      </c>
      <c r="E98" s="159">
        <v>2.44</v>
      </c>
      <c r="H98" s="5"/>
      <c r="I98" s="5"/>
      <c r="J98" s="5"/>
      <c r="K98" s="5"/>
      <c r="L98" s="5"/>
      <c r="M98" s="5"/>
      <c r="N98" s="5"/>
      <c r="O98" s="5"/>
      <c r="P98" s="5"/>
      <c r="Q98" s="5"/>
      <c r="R98" s="5"/>
      <c r="S98" s="5"/>
      <c r="T98" s="5"/>
      <c r="U98" s="5"/>
      <c r="V98" s="5"/>
      <c r="W98" s="5"/>
      <c r="X98" s="5"/>
      <c r="Y98" s="5"/>
      <c r="Z98" s="5"/>
      <c r="AA98" s="5"/>
      <c r="AB98" s="5"/>
      <c r="AC98" s="5"/>
      <c r="AD98" s="5"/>
      <c r="AE98" s="5"/>
      <c r="AF98" s="5"/>
      <c r="AG98" s="5"/>
      <c r="AH98" s="5"/>
      <c r="AI98" s="5"/>
      <c r="AJ98" s="5"/>
      <c r="AK98" s="5"/>
      <c r="AL98" s="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row>
    <row r="99" spans="1:83" x14ac:dyDescent="0.25">
      <c r="A99" s="134" t="s">
        <v>165</v>
      </c>
      <c r="B99" s="145">
        <v>41</v>
      </c>
      <c r="C99" s="157">
        <v>2.62</v>
      </c>
      <c r="D99" s="158">
        <v>2.63</v>
      </c>
      <c r="E99" s="159">
        <v>2.44</v>
      </c>
      <c r="H99" s="5"/>
      <c r="I99" s="5"/>
      <c r="J99" s="5"/>
      <c r="K99" s="5"/>
      <c r="L99" s="5"/>
      <c r="M99" s="5"/>
      <c r="N99" s="5"/>
      <c r="O99" s="5"/>
      <c r="P99" s="5"/>
      <c r="Q99" s="5"/>
      <c r="R99" s="5"/>
      <c r="S99" s="5"/>
      <c r="T99" s="5"/>
      <c r="U99" s="5"/>
      <c r="V99" s="5"/>
      <c r="W99" s="5"/>
      <c r="X99" s="5"/>
      <c r="Y99" s="5"/>
      <c r="Z99" s="5"/>
      <c r="AA99" s="5"/>
      <c r="AB99" s="5"/>
      <c r="AC99" s="5"/>
      <c r="AD99" s="5"/>
      <c r="AE99" s="5"/>
      <c r="AF99" s="5"/>
      <c r="AG99" s="5"/>
      <c r="AH99" s="5"/>
      <c r="AI99" s="5"/>
      <c r="AJ99" s="5"/>
      <c r="AK99" s="5"/>
      <c r="AL99" s="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row>
    <row r="100" spans="1:83" x14ac:dyDescent="0.25">
      <c r="A100" s="134" t="s">
        <v>166</v>
      </c>
      <c r="B100" s="145">
        <v>41.5</v>
      </c>
      <c r="C100" s="157">
        <v>2.62</v>
      </c>
      <c r="D100" s="158">
        <v>2.63</v>
      </c>
      <c r="E100" s="159">
        <v>2.4300000000000002</v>
      </c>
      <c r="H100" s="5"/>
      <c r="I100" s="5"/>
      <c r="J100" s="5"/>
      <c r="K100" s="5"/>
      <c r="L100" s="5"/>
      <c r="M100" s="5"/>
      <c r="N100" s="5"/>
      <c r="O100" s="5"/>
      <c r="P100" s="5"/>
      <c r="Q100" s="5"/>
      <c r="R100" s="5"/>
      <c r="S100" s="5"/>
      <c r="T100" s="5"/>
      <c r="U100" s="5"/>
      <c r="V100" s="5"/>
      <c r="W100" s="5"/>
      <c r="X100" s="5"/>
      <c r="Y100" s="5"/>
      <c r="Z100" s="5"/>
      <c r="AA100" s="5"/>
      <c r="AB100" s="5"/>
      <c r="AC100" s="5"/>
      <c r="AD100" s="5"/>
      <c r="AE100" s="5"/>
      <c r="AF100" s="5"/>
      <c r="AG100" s="5"/>
      <c r="AH100" s="5"/>
      <c r="AI100" s="5"/>
      <c r="AJ100" s="5"/>
      <c r="AK100" s="5"/>
      <c r="AL100" s="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row>
    <row r="101" spans="1:83" x14ac:dyDescent="0.25">
      <c r="A101" s="134" t="s">
        <v>167</v>
      </c>
      <c r="B101" s="145">
        <v>42</v>
      </c>
      <c r="C101" s="157">
        <v>2.62</v>
      </c>
      <c r="D101" s="158">
        <v>2.63</v>
      </c>
      <c r="E101" s="159">
        <v>2.4300000000000002</v>
      </c>
      <c r="H101" s="5"/>
      <c r="I101" s="5"/>
      <c r="J101" s="5"/>
      <c r="K101" s="5"/>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row>
    <row r="102" spans="1:83" x14ac:dyDescent="0.25">
      <c r="A102" s="134" t="s">
        <v>168</v>
      </c>
      <c r="B102" s="145">
        <v>42.5</v>
      </c>
      <c r="C102" s="157">
        <v>2.62</v>
      </c>
      <c r="D102" s="158">
        <v>2.63</v>
      </c>
      <c r="E102" s="159">
        <v>2.4300000000000002</v>
      </c>
      <c r="H102" s="5"/>
      <c r="I102" s="5"/>
      <c r="J102" s="5"/>
      <c r="K102" s="5"/>
      <c r="L102" s="5"/>
      <c r="M102" s="5"/>
      <c r="N102" s="5"/>
      <c r="O102" s="5"/>
      <c r="P102" s="5"/>
      <c r="Q102" s="5"/>
      <c r="R102" s="5"/>
      <c r="S102" s="5"/>
      <c r="T102" s="5"/>
      <c r="U102" s="5"/>
      <c r="V102" s="5"/>
      <c r="W102" s="5"/>
      <c r="X102" s="5"/>
      <c r="Y102" s="5"/>
      <c r="Z102" s="5"/>
      <c r="AA102" s="5"/>
      <c r="AB102" s="5"/>
      <c r="AC102" s="5"/>
      <c r="AD102" s="5"/>
      <c r="AE102" s="5"/>
      <c r="AF102" s="5"/>
      <c r="AG102" s="5"/>
      <c r="AH102" s="5"/>
      <c r="AI102" s="5"/>
      <c r="AJ102" s="5"/>
      <c r="AK102" s="5"/>
      <c r="AL102" s="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row>
    <row r="103" spans="1:83" x14ac:dyDescent="0.25">
      <c r="A103" s="134" t="s">
        <v>169</v>
      </c>
      <c r="B103" s="145">
        <v>43</v>
      </c>
      <c r="C103" s="157">
        <v>2.63</v>
      </c>
      <c r="D103" s="158">
        <v>2.63</v>
      </c>
      <c r="E103" s="159">
        <v>2.42</v>
      </c>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row>
    <row r="104" spans="1:83" x14ac:dyDescent="0.25">
      <c r="A104" s="134" t="s">
        <v>170</v>
      </c>
      <c r="B104" s="145">
        <v>43.5</v>
      </c>
      <c r="C104" s="157">
        <v>2.63</v>
      </c>
      <c r="D104" s="158">
        <v>2.63</v>
      </c>
      <c r="E104" s="159">
        <v>2.42</v>
      </c>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row>
    <row r="105" spans="1:83" x14ac:dyDescent="0.25">
      <c r="A105" s="134" t="s">
        <v>171</v>
      </c>
      <c r="B105" s="145">
        <v>44</v>
      </c>
      <c r="C105" s="157">
        <v>2.63</v>
      </c>
      <c r="D105" s="158">
        <v>2.63</v>
      </c>
      <c r="E105" s="159">
        <v>2.42</v>
      </c>
      <c r="H105" s="5"/>
      <c r="I105" s="5"/>
      <c r="J105" s="5"/>
      <c r="K105" s="5"/>
      <c r="L105" s="5"/>
      <c r="M105" s="5"/>
      <c r="N105" s="5"/>
      <c r="O105" s="5"/>
      <c r="P105" s="5"/>
      <c r="Q105" s="5"/>
      <c r="R105" s="5"/>
      <c r="S105" s="5"/>
      <c r="T105" s="5"/>
      <c r="U105" s="5"/>
      <c r="V105" s="5"/>
      <c r="W105" s="5"/>
      <c r="X105" s="5"/>
      <c r="Y105" s="5"/>
      <c r="Z105" s="5"/>
      <c r="AA105" s="5"/>
      <c r="AB105" s="5"/>
      <c r="AC105" s="5"/>
      <c r="AD105" s="5"/>
      <c r="AE105" s="5"/>
      <c r="AF105" s="5"/>
      <c r="AG105" s="5"/>
      <c r="AH105" s="5"/>
      <c r="AI105" s="5"/>
      <c r="AJ105" s="5"/>
      <c r="AK105" s="5"/>
      <c r="AL105" s="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row>
    <row r="106" spans="1:83" x14ac:dyDescent="0.25">
      <c r="A106" s="134" t="s">
        <v>172</v>
      </c>
      <c r="B106" s="145">
        <v>44.5</v>
      </c>
      <c r="C106" s="157">
        <v>2.63</v>
      </c>
      <c r="D106" s="158">
        <v>2.63</v>
      </c>
      <c r="E106" s="159">
        <v>2.41</v>
      </c>
      <c r="H106" s="5"/>
      <c r="I106" s="5"/>
      <c r="J106" s="5"/>
      <c r="K106" s="5"/>
      <c r="L106" s="5"/>
      <c r="M106" s="5"/>
      <c r="N106" s="5"/>
      <c r="O106" s="5"/>
      <c r="P106" s="5"/>
      <c r="Q106" s="5"/>
      <c r="R106" s="5"/>
      <c r="S106" s="5"/>
      <c r="T106" s="5"/>
      <c r="U106" s="5"/>
      <c r="V106" s="5"/>
      <c r="W106" s="5"/>
      <c r="X106" s="5"/>
      <c r="Y106" s="5"/>
      <c r="Z106" s="5"/>
      <c r="AA106" s="5"/>
      <c r="AB106" s="5"/>
      <c r="AC106" s="5"/>
      <c r="AD106" s="5"/>
      <c r="AE106" s="5"/>
      <c r="AF106" s="5"/>
      <c r="AG106" s="5"/>
      <c r="AH106" s="5"/>
      <c r="AI106" s="5"/>
      <c r="AJ106" s="5"/>
      <c r="AK106" s="5"/>
      <c r="AL106" s="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row>
    <row r="107" spans="1:83" x14ac:dyDescent="0.25">
      <c r="A107" s="134" t="s">
        <v>173</v>
      </c>
      <c r="B107" s="145">
        <v>45</v>
      </c>
      <c r="C107" s="157">
        <v>2.63</v>
      </c>
      <c r="D107" s="158">
        <v>2.63</v>
      </c>
      <c r="E107" s="159">
        <v>2.41</v>
      </c>
      <c r="H107" s="5"/>
      <c r="I107" s="5"/>
      <c r="J107" s="5"/>
      <c r="K107" s="5"/>
      <c r="L107" s="5"/>
      <c r="M107" s="5"/>
      <c r="N107" s="5"/>
      <c r="O107" s="5"/>
      <c r="P107" s="5"/>
      <c r="Q107" s="5"/>
      <c r="R107" s="5"/>
      <c r="S107" s="5"/>
      <c r="T107" s="5"/>
      <c r="U107" s="5"/>
      <c r="V107" s="5"/>
      <c r="W107" s="5"/>
      <c r="X107" s="5"/>
      <c r="Y107" s="5"/>
      <c r="Z107" s="5"/>
      <c r="AA107" s="5"/>
      <c r="AB107" s="5"/>
      <c r="AC107" s="5"/>
      <c r="AD107" s="5"/>
      <c r="AE107" s="5"/>
      <c r="AF107" s="5"/>
      <c r="AG107" s="5"/>
      <c r="AH107" s="5"/>
      <c r="AI107" s="5"/>
      <c r="AJ107" s="5"/>
      <c r="AK107" s="5"/>
      <c r="AL107" s="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row>
    <row r="108" spans="1:83" x14ac:dyDescent="0.25">
      <c r="A108" s="134" t="s">
        <v>174</v>
      </c>
      <c r="B108" s="145">
        <v>45.5</v>
      </c>
      <c r="C108" s="157">
        <v>2.63</v>
      </c>
      <c r="D108" s="158">
        <v>2.63</v>
      </c>
      <c r="E108" s="159">
        <v>2.41</v>
      </c>
      <c r="H108" s="5"/>
      <c r="I108" s="5"/>
      <c r="J108" s="5"/>
      <c r="K108" s="5"/>
      <c r="L108" s="5"/>
      <c r="M108" s="5"/>
      <c r="N108" s="5"/>
      <c r="O108" s="5"/>
      <c r="P108" s="5"/>
      <c r="Q108" s="5"/>
      <c r="R108" s="5"/>
      <c r="S108" s="5"/>
      <c r="T108" s="5"/>
      <c r="U108" s="5"/>
      <c r="V108" s="5"/>
      <c r="W108" s="5"/>
      <c r="X108" s="5"/>
      <c r="Y108" s="5"/>
      <c r="Z108" s="5"/>
      <c r="AA108" s="5"/>
      <c r="AB108" s="5"/>
      <c r="AC108" s="5"/>
      <c r="AD108" s="5"/>
      <c r="AE108" s="5"/>
      <c r="AF108" s="5"/>
      <c r="AG108" s="5"/>
      <c r="AH108" s="5"/>
      <c r="AI108" s="5"/>
      <c r="AJ108" s="5"/>
      <c r="AK108" s="5"/>
      <c r="AL108" s="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row>
    <row r="109" spans="1:83" x14ac:dyDescent="0.25">
      <c r="A109" s="134" t="s">
        <v>175</v>
      </c>
      <c r="B109" s="145">
        <v>46</v>
      </c>
      <c r="C109" s="157">
        <v>2.63</v>
      </c>
      <c r="D109" s="158">
        <v>2.63</v>
      </c>
      <c r="E109" s="159">
        <v>2.4</v>
      </c>
      <c r="H109" s="5"/>
      <c r="I109" s="5"/>
      <c r="J109" s="5"/>
      <c r="K109" s="5"/>
      <c r="L109" s="5"/>
      <c r="M109" s="5"/>
      <c r="N109" s="5"/>
      <c r="O109" s="5"/>
      <c r="P109" s="5"/>
      <c r="Q109" s="5"/>
      <c r="R109" s="5"/>
      <c r="S109" s="5"/>
      <c r="T109" s="5"/>
      <c r="U109" s="5"/>
      <c r="V109" s="5"/>
      <c r="W109" s="5"/>
      <c r="X109" s="5"/>
      <c r="Y109" s="5"/>
      <c r="Z109" s="5"/>
      <c r="AA109" s="5"/>
      <c r="AB109" s="5"/>
      <c r="AC109" s="5"/>
      <c r="AD109" s="5"/>
      <c r="AE109" s="5"/>
      <c r="AF109" s="5"/>
      <c r="AG109" s="5"/>
      <c r="AH109" s="5"/>
      <c r="AI109" s="5"/>
      <c r="AJ109" s="5"/>
      <c r="AK109" s="5"/>
      <c r="AL109" s="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row>
    <row r="110" spans="1:83" x14ac:dyDescent="0.25">
      <c r="A110" s="134" t="s">
        <v>176</v>
      </c>
      <c r="B110" s="145">
        <v>46.5</v>
      </c>
      <c r="C110" s="157">
        <v>2.63</v>
      </c>
      <c r="D110" s="158">
        <v>2.63</v>
      </c>
      <c r="E110" s="159">
        <v>2.4</v>
      </c>
      <c r="H110" s="5"/>
      <c r="I110" s="5"/>
      <c r="J110" s="5"/>
      <c r="K110" s="5"/>
      <c r="L110" s="5"/>
      <c r="M110" s="5"/>
      <c r="N110" s="5"/>
      <c r="O110" s="5"/>
      <c r="P110" s="5"/>
      <c r="Q110" s="5"/>
      <c r="R110" s="5"/>
      <c r="S110" s="5"/>
      <c r="T110" s="5"/>
      <c r="U110" s="5"/>
      <c r="V110" s="5"/>
      <c r="W110" s="5"/>
      <c r="X110" s="5"/>
      <c r="Y110" s="5"/>
      <c r="Z110" s="5"/>
      <c r="AA110" s="5"/>
      <c r="AB110" s="5"/>
      <c r="AC110" s="5"/>
      <c r="AD110" s="5"/>
      <c r="AE110" s="5"/>
      <c r="AF110" s="5"/>
      <c r="AG110" s="5"/>
      <c r="AH110" s="5"/>
      <c r="AI110" s="5"/>
      <c r="AJ110" s="5"/>
      <c r="AK110" s="5"/>
      <c r="AL110" s="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row>
    <row r="111" spans="1:83" x14ac:dyDescent="0.25">
      <c r="A111" s="134" t="s">
        <v>177</v>
      </c>
      <c r="B111" s="145">
        <v>47</v>
      </c>
      <c r="C111" s="157">
        <v>2.63</v>
      </c>
      <c r="D111" s="158">
        <v>2.63</v>
      </c>
      <c r="E111" s="159">
        <v>2.4</v>
      </c>
      <c r="H111" s="5"/>
      <c r="I111" s="5"/>
      <c r="J111" s="5"/>
      <c r="K111" s="5"/>
      <c r="L111" s="5"/>
      <c r="M111" s="5"/>
      <c r="N111" s="5"/>
      <c r="O111" s="5"/>
      <c r="P111" s="5"/>
      <c r="Q111" s="5"/>
      <c r="R111" s="5"/>
      <c r="S111" s="5"/>
      <c r="T111" s="5"/>
      <c r="U111" s="5"/>
      <c r="V111" s="5"/>
      <c r="W111" s="5"/>
      <c r="X111" s="5"/>
      <c r="Y111" s="5"/>
      <c r="Z111" s="5"/>
      <c r="AA111" s="5"/>
      <c r="AB111" s="5"/>
      <c r="AC111" s="5"/>
      <c r="AD111" s="5"/>
      <c r="AE111" s="5"/>
      <c r="AF111" s="5"/>
      <c r="AG111" s="5"/>
      <c r="AH111" s="5"/>
      <c r="AI111" s="5"/>
      <c r="AJ111" s="5"/>
      <c r="AK111" s="5"/>
      <c r="AL111" s="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row>
    <row r="112" spans="1:83" x14ac:dyDescent="0.25">
      <c r="A112" s="134" t="s">
        <v>178</v>
      </c>
      <c r="B112" s="145">
        <v>47.5</v>
      </c>
      <c r="C112" s="157">
        <v>2.63</v>
      </c>
      <c r="D112" s="158">
        <v>2.63</v>
      </c>
      <c r="E112" s="159">
        <v>2.39</v>
      </c>
      <c r="H112" s="5"/>
      <c r="I112" s="5"/>
      <c r="J112" s="5"/>
      <c r="K112" s="5"/>
      <c r="L112" s="5"/>
      <c r="M112" s="5"/>
      <c r="N112" s="5"/>
      <c r="O112" s="5"/>
      <c r="P112" s="5"/>
      <c r="Q112" s="5"/>
      <c r="R112" s="5"/>
      <c r="S112" s="5"/>
      <c r="T112" s="5"/>
      <c r="U112" s="5"/>
      <c r="V112" s="5"/>
      <c r="W112" s="5"/>
      <c r="X112" s="5"/>
      <c r="Y112" s="5"/>
      <c r="Z112" s="5"/>
      <c r="AA112" s="5"/>
      <c r="AB112" s="5"/>
      <c r="AC112" s="5"/>
      <c r="AD112" s="5"/>
      <c r="AE112" s="5"/>
      <c r="AF112" s="5"/>
      <c r="AG112" s="5"/>
      <c r="AH112" s="5"/>
      <c r="AI112" s="5"/>
      <c r="AJ112" s="5"/>
      <c r="AK112" s="5"/>
      <c r="AL112" s="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row>
    <row r="113" spans="1:83" x14ac:dyDescent="0.25">
      <c r="A113" s="134" t="s">
        <v>179</v>
      </c>
      <c r="B113" s="145">
        <v>48</v>
      </c>
      <c r="C113" s="157">
        <v>2.63</v>
      </c>
      <c r="D113" s="158">
        <v>2.63</v>
      </c>
      <c r="E113" s="159">
        <v>2.39</v>
      </c>
      <c r="H113" s="5"/>
      <c r="I113" s="5"/>
      <c r="J113" s="5"/>
      <c r="K113" s="5"/>
      <c r="L113" s="5"/>
      <c r="M113" s="5"/>
      <c r="N113" s="5"/>
      <c r="O113" s="5"/>
      <c r="P113" s="5"/>
      <c r="Q113" s="5"/>
      <c r="R113" s="5"/>
      <c r="S113" s="5"/>
      <c r="T113" s="5"/>
      <c r="U113" s="5"/>
      <c r="V113" s="5"/>
      <c r="W113" s="5"/>
      <c r="X113" s="5"/>
      <c r="Y113" s="5"/>
      <c r="Z113" s="5"/>
      <c r="AA113" s="5"/>
      <c r="AB113" s="5"/>
      <c r="AC113" s="5"/>
      <c r="AD113" s="5"/>
      <c r="AE113" s="5"/>
      <c r="AF113" s="5"/>
      <c r="AG113" s="5"/>
      <c r="AH113" s="5"/>
      <c r="AI113" s="5"/>
      <c r="AJ113" s="5"/>
      <c r="AK113" s="5"/>
      <c r="AL113" s="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row>
    <row r="114" spans="1:83" x14ac:dyDescent="0.25">
      <c r="A114" s="134" t="s">
        <v>180</v>
      </c>
      <c r="B114" s="145">
        <v>48.5</v>
      </c>
      <c r="C114" s="157">
        <v>2.63</v>
      </c>
      <c r="D114" s="158">
        <v>2.63</v>
      </c>
      <c r="E114" s="159">
        <v>2.39</v>
      </c>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row>
    <row r="115" spans="1:83" x14ac:dyDescent="0.25">
      <c r="A115" s="134" t="s">
        <v>181</v>
      </c>
      <c r="B115" s="145">
        <v>49</v>
      </c>
      <c r="C115" s="157">
        <v>2.63</v>
      </c>
      <c r="D115" s="158">
        <v>2.62</v>
      </c>
      <c r="E115" s="159">
        <v>2.38</v>
      </c>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row>
    <row r="116" spans="1:83" x14ac:dyDescent="0.25">
      <c r="A116" s="134" t="s">
        <v>182</v>
      </c>
      <c r="B116" s="145">
        <v>49.5</v>
      </c>
      <c r="C116" s="157">
        <v>2.63</v>
      </c>
      <c r="D116" s="158">
        <v>2.62</v>
      </c>
      <c r="E116" s="159">
        <v>2.38</v>
      </c>
      <c r="H116" s="5"/>
      <c r="I116" s="5"/>
      <c r="J116" s="5"/>
      <c r="K116" s="5"/>
      <c r="L116" s="5"/>
      <c r="M116" s="5"/>
      <c r="N116" s="5"/>
      <c r="O116" s="5"/>
      <c r="P116" s="5"/>
      <c r="Q116" s="5"/>
      <c r="R116" s="5"/>
      <c r="S116" s="5"/>
      <c r="T116" s="5"/>
      <c r="U116" s="5"/>
      <c r="V116" s="5"/>
      <c r="W116" s="5"/>
      <c r="X116" s="5"/>
      <c r="Y116" s="5"/>
      <c r="Z116" s="5"/>
      <c r="AA116" s="5"/>
      <c r="AB116" s="5"/>
      <c r="AC116" s="5"/>
      <c r="AD116" s="5"/>
      <c r="AE116" s="5"/>
      <c r="AF116" s="5"/>
      <c r="AG116" s="5"/>
      <c r="AH116" s="5"/>
      <c r="AI116" s="5"/>
      <c r="AJ116" s="5"/>
      <c r="AK116" s="5"/>
      <c r="AL116" s="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row>
    <row r="117" spans="1:83" x14ac:dyDescent="0.25">
      <c r="A117" s="138" t="s">
        <v>183</v>
      </c>
      <c r="B117" s="146">
        <v>50</v>
      </c>
      <c r="C117" s="160">
        <v>2.63</v>
      </c>
      <c r="D117" s="161">
        <v>2.62</v>
      </c>
      <c r="E117" s="162">
        <v>2.37</v>
      </c>
      <c r="H117" s="5"/>
      <c r="I117" s="5"/>
      <c r="J117" s="5"/>
      <c r="K117" s="5"/>
      <c r="L117" s="5"/>
      <c r="M117" s="5"/>
      <c r="N117" s="5"/>
      <c r="O117" s="5"/>
      <c r="P117" s="5"/>
      <c r="Q117" s="5"/>
      <c r="R117" s="5"/>
      <c r="S117" s="5"/>
      <c r="T117" s="5"/>
      <c r="U117" s="5"/>
      <c r="V117" s="5"/>
      <c r="W117" s="5"/>
      <c r="X117" s="5"/>
      <c r="Y117" s="5"/>
      <c r="Z117" s="5"/>
      <c r="AA117" s="5"/>
      <c r="AB117" s="5"/>
      <c r="AC117" s="5"/>
      <c r="AD117" s="5"/>
      <c r="AE117" s="5"/>
      <c r="AF117" s="5"/>
      <c r="AG117" s="5"/>
      <c r="AH117" s="5"/>
      <c r="AI117" s="5"/>
      <c r="AJ117" s="5"/>
      <c r="AK117" s="5"/>
      <c r="AL117" s="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row>
    <row r="118" spans="1:83" x14ac:dyDescent="0.25">
      <c r="H118" s="5"/>
      <c r="I118" s="5"/>
      <c r="J118" s="5"/>
      <c r="K118" s="5"/>
      <c r="L118" s="5"/>
      <c r="M118" s="5"/>
      <c r="N118" s="5"/>
      <c r="O118" s="5"/>
      <c r="P118" s="5"/>
      <c r="Q118" s="5"/>
      <c r="R118" s="5"/>
      <c r="S118" s="5"/>
      <c r="T118" s="5"/>
      <c r="U118" s="5"/>
      <c r="V118" s="5"/>
      <c r="W118" s="5"/>
      <c r="X118" s="5"/>
      <c r="Y118" s="5"/>
      <c r="Z118" s="5"/>
      <c r="AA118" s="5"/>
      <c r="AB118" s="5"/>
      <c r="AC118" s="5"/>
      <c r="AD118" s="5"/>
      <c r="AE118" s="5"/>
      <c r="AF118" s="5"/>
      <c r="AG118" s="5"/>
      <c r="AH118" s="5"/>
      <c r="AI118" s="5"/>
      <c r="AJ118" s="5"/>
      <c r="AK118" s="5"/>
      <c r="AL118" s="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row>
    <row r="119" spans="1:83" x14ac:dyDescent="0.25">
      <c r="H119" s="5"/>
      <c r="I119" s="5"/>
      <c r="J119" s="5"/>
      <c r="K119" s="5"/>
      <c r="L119" s="5"/>
      <c r="M119" s="5"/>
      <c r="N119" s="5"/>
      <c r="O119" s="5"/>
      <c r="P119" s="5"/>
      <c r="Q119" s="5"/>
      <c r="R119" s="5"/>
      <c r="S119" s="5"/>
      <c r="T119" s="5"/>
      <c r="U119" s="5"/>
      <c r="V119" s="5"/>
      <c r="W119" s="5"/>
      <c r="X119" s="5"/>
      <c r="Y119" s="5"/>
      <c r="Z119" s="5"/>
      <c r="AA119" s="5"/>
      <c r="AB119" s="5"/>
      <c r="AC119" s="5"/>
      <c r="AD119" s="5"/>
      <c r="AE119" s="5"/>
      <c r="AF119" s="5"/>
      <c r="AG119" s="5"/>
      <c r="AH119" s="5"/>
      <c r="AI119" s="5"/>
      <c r="AJ119" s="5"/>
      <c r="AK119" s="5"/>
      <c r="AL119" s="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row>
    <row r="120" spans="1:83" x14ac:dyDescent="0.25">
      <c r="H120" s="5"/>
      <c r="I120" s="5"/>
      <c r="J120" s="5"/>
      <c r="K120" s="5"/>
      <c r="L120" s="5"/>
      <c r="M120" s="5"/>
      <c r="N120" s="5"/>
      <c r="O120" s="5"/>
      <c r="P120" s="5"/>
      <c r="Q120" s="5"/>
      <c r="R120" s="5"/>
      <c r="S120" s="5"/>
      <c r="T120" s="5"/>
      <c r="U120" s="5"/>
      <c r="V120" s="5"/>
      <c r="W120" s="5"/>
      <c r="X120" s="5"/>
      <c r="Y120" s="5"/>
      <c r="Z120" s="5"/>
      <c r="AA120" s="5"/>
      <c r="AB120" s="5"/>
      <c r="AC120" s="5"/>
      <c r="AD120" s="5"/>
      <c r="AE120" s="5"/>
      <c r="AF120" s="5"/>
      <c r="AG120" s="5"/>
      <c r="AH120" s="5"/>
      <c r="AI120" s="5"/>
      <c r="AJ120" s="5"/>
      <c r="AK120" s="5"/>
      <c r="AL120" s="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row>
    <row r="121" spans="1:83" x14ac:dyDescent="0.2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row>
    <row r="122" spans="1:83" x14ac:dyDescent="0.25">
      <c r="H122" s="5"/>
      <c r="I122" s="5"/>
      <c r="J122" s="5"/>
      <c r="K122" s="5"/>
      <c r="L122" s="5"/>
      <c r="M122" s="5"/>
      <c r="N122" s="5"/>
      <c r="O122" s="5"/>
      <c r="P122" s="5"/>
      <c r="Q122" s="5"/>
      <c r="R122" s="5"/>
      <c r="S122" s="5"/>
      <c r="T122" s="5"/>
      <c r="U122" s="5"/>
      <c r="V122" s="5"/>
      <c r="W122" s="5"/>
      <c r="X122" s="5"/>
      <c r="Y122" s="5"/>
      <c r="Z122" s="5"/>
      <c r="AA122" s="5"/>
      <c r="AB122" s="5"/>
      <c r="AC122" s="5"/>
      <c r="AD122" s="5"/>
      <c r="AE122" s="5"/>
      <c r="AF122" s="5"/>
      <c r="AG122" s="5"/>
      <c r="AH122" s="5"/>
      <c r="AI122" s="5"/>
      <c r="AJ122" s="5"/>
      <c r="AK122" s="5"/>
      <c r="AL122" s="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row>
    <row r="123" spans="1:83" x14ac:dyDescent="0.25">
      <c r="H123" s="5"/>
      <c r="I123" s="5"/>
      <c r="J123" s="5"/>
      <c r="K123" s="5"/>
      <c r="L123" s="5"/>
      <c r="M123" s="5"/>
      <c r="N123" s="5"/>
      <c r="O123" s="5"/>
      <c r="P123" s="5"/>
      <c r="Q123" s="5"/>
      <c r="R123" s="5"/>
      <c r="S123" s="5"/>
      <c r="T123" s="5"/>
      <c r="U123" s="5"/>
      <c r="V123" s="5"/>
      <c r="W123" s="5"/>
      <c r="X123" s="5"/>
      <c r="Y123" s="5"/>
      <c r="Z123" s="5"/>
      <c r="AA123" s="5"/>
      <c r="AB123" s="5"/>
      <c r="AC123" s="5"/>
      <c r="AD123" s="5"/>
      <c r="AE123" s="5"/>
      <c r="AF123" s="5"/>
      <c r="AG123" s="5"/>
      <c r="AH123" s="5"/>
      <c r="AI123" s="5"/>
      <c r="AJ123" s="5"/>
      <c r="AK123" s="5"/>
      <c r="AL123" s="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row>
    <row r="124" spans="1:83" x14ac:dyDescent="0.25">
      <c r="H124" s="5"/>
      <c r="I124" s="5"/>
      <c r="J124" s="5"/>
      <c r="K124" s="5"/>
      <c r="L124" s="5"/>
      <c r="M124" s="5"/>
      <c r="N124" s="5"/>
      <c r="O124" s="5"/>
      <c r="P124" s="5"/>
      <c r="Q124" s="5"/>
      <c r="R124" s="5"/>
      <c r="S124" s="5"/>
      <c r="T124" s="5"/>
      <c r="U124" s="5"/>
      <c r="V124" s="5"/>
      <c r="W124" s="5"/>
      <c r="X124" s="5"/>
      <c r="Y124" s="5"/>
      <c r="Z124" s="5"/>
      <c r="AA124" s="5"/>
      <c r="AB124" s="5"/>
      <c r="AC124" s="5"/>
      <c r="AD124" s="5"/>
      <c r="AE124" s="5"/>
      <c r="AF124" s="5"/>
      <c r="AG124" s="5"/>
      <c r="AH124" s="5"/>
      <c r="AI124" s="5"/>
      <c r="AJ124" s="5"/>
      <c r="AK124" s="5"/>
      <c r="AL124" s="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row>
    <row r="125" spans="1:83" x14ac:dyDescent="0.25">
      <c r="H125" s="5"/>
      <c r="I125" s="5"/>
      <c r="J125" s="5"/>
      <c r="K125" s="5"/>
      <c r="L125" s="5"/>
      <c r="M125" s="5"/>
      <c r="N125" s="5"/>
      <c r="O125" s="5"/>
      <c r="P125" s="5"/>
      <c r="Q125" s="5"/>
      <c r="R125" s="5"/>
      <c r="S125" s="5"/>
      <c r="T125" s="5"/>
      <c r="U125" s="5"/>
      <c r="V125" s="5"/>
      <c r="W125" s="5"/>
      <c r="X125" s="5"/>
      <c r="Y125" s="5"/>
      <c r="Z125" s="5"/>
      <c r="AA125" s="5"/>
      <c r="AB125" s="5"/>
      <c r="AC125" s="5"/>
      <c r="AD125" s="5"/>
      <c r="AE125" s="5"/>
      <c r="AF125" s="5"/>
      <c r="AG125" s="5"/>
      <c r="AH125" s="5"/>
      <c r="AI125" s="5"/>
      <c r="AJ125" s="5"/>
      <c r="AK125" s="5"/>
      <c r="AL125" s="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row>
    <row r="126" spans="1:83" x14ac:dyDescent="0.25">
      <c r="H126" s="5"/>
      <c r="I126" s="5"/>
      <c r="J126" s="5"/>
      <c r="K126" s="5"/>
      <c r="L126" s="5"/>
      <c r="M126" s="5"/>
      <c r="N126" s="5"/>
      <c r="O126" s="5"/>
      <c r="P126" s="5"/>
      <c r="Q126" s="5"/>
      <c r="R126" s="5"/>
      <c r="S126" s="5"/>
      <c r="T126" s="5"/>
      <c r="U126" s="5"/>
      <c r="V126" s="5"/>
      <c r="W126" s="5"/>
      <c r="X126" s="5"/>
      <c r="Y126" s="5"/>
      <c r="Z126" s="5"/>
      <c r="AA126" s="5"/>
      <c r="AB126" s="5"/>
      <c r="AC126" s="5"/>
      <c r="AD126" s="5"/>
      <c r="AE126" s="5"/>
      <c r="AF126" s="5"/>
      <c r="AG126" s="5"/>
      <c r="AH126" s="5"/>
      <c r="AI126" s="5"/>
      <c r="AJ126" s="5"/>
      <c r="AK126" s="5"/>
      <c r="AL126" s="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row>
    <row r="127" spans="1:83" x14ac:dyDescent="0.25">
      <c r="H127" s="5"/>
      <c r="I127" s="5"/>
      <c r="J127" s="5"/>
      <c r="K127" s="5"/>
      <c r="L127" s="5"/>
      <c r="M127" s="5"/>
      <c r="N127" s="5"/>
      <c r="O127" s="5"/>
      <c r="P127" s="5"/>
      <c r="Q127" s="5"/>
      <c r="R127" s="5"/>
      <c r="S127" s="5"/>
      <c r="T127" s="5"/>
      <c r="U127" s="5"/>
      <c r="V127" s="5"/>
      <c r="W127" s="5"/>
      <c r="X127" s="5"/>
      <c r="Y127" s="5"/>
      <c r="Z127" s="5"/>
      <c r="AA127" s="5"/>
      <c r="AB127" s="5"/>
      <c r="AC127" s="5"/>
      <c r="AD127" s="5"/>
      <c r="AE127" s="5"/>
      <c r="AF127" s="5"/>
      <c r="AG127" s="5"/>
      <c r="AH127" s="5"/>
      <c r="AI127" s="5"/>
      <c r="AJ127" s="5"/>
      <c r="AK127" s="5"/>
      <c r="AL127" s="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row>
    <row r="128" spans="1:83" x14ac:dyDescent="0.25">
      <c r="H128" s="5"/>
      <c r="I128" s="5"/>
      <c r="J128" s="5"/>
      <c r="K128" s="5"/>
      <c r="L128" s="5"/>
      <c r="M128" s="5"/>
      <c r="N128" s="5"/>
      <c r="O128" s="5"/>
      <c r="P128" s="5"/>
      <c r="Q128" s="5"/>
      <c r="R128" s="5"/>
      <c r="S128" s="5"/>
      <c r="T128" s="5"/>
      <c r="U128" s="5"/>
      <c r="V128" s="5"/>
      <c r="W128" s="5"/>
      <c r="X128" s="5"/>
      <c r="Y128" s="5"/>
      <c r="Z128" s="5"/>
      <c r="AA128" s="5"/>
      <c r="AB128" s="5"/>
      <c r="AC128" s="5"/>
      <c r="AD128" s="5"/>
      <c r="AE128" s="5"/>
      <c r="AF128" s="5"/>
      <c r="AG128" s="5"/>
      <c r="AH128" s="5"/>
      <c r="AI128" s="5"/>
      <c r="AJ128" s="5"/>
      <c r="AK128" s="5"/>
      <c r="AL128" s="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row>
    <row r="129" spans="8:83" x14ac:dyDescent="0.25">
      <c r="H129" s="5"/>
      <c r="I129" s="5"/>
      <c r="J129" s="5"/>
      <c r="K129" s="5"/>
      <c r="L129" s="5"/>
      <c r="M129" s="5"/>
      <c r="N129" s="5"/>
      <c r="O129" s="5"/>
      <c r="P129" s="5"/>
      <c r="Q129" s="5"/>
      <c r="R129" s="5"/>
      <c r="S129" s="5"/>
      <c r="T129" s="5"/>
      <c r="U129" s="5"/>
      <c r="V129" s="5"/>
      <c r="W129" s="5"/>
      <c r="X129" s="5"/>
      <c r="Y129" s="5"/>
      <c r="Z129" s="5"/>
      <c r="AA129" s="5"/>
      <c r="AB129" s="5"/>
      <c r="AC129" s="5"/>
      <c r="AD129" s="5"/>
      <c r="AE129" s="5"/>
      <c r="AF129" s="5"/>
      <c r="AG129" s="5"/>
      <c r="AH129" s="5"/>
      <c r="AI129" s="5"/>
      <c r="AJ129" s="5"/>
      <c r="AK129" s="5"/>
      <c r="AL129" s="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row>
    <row r="130" spans="8:83" x14ac:dyDescent="0.25">
      <c r="H130" s="5"/>
      <c r="I130" s="5"/>
      <c r="J130" s="5"/>
      <c r="K130" s="5"/>
      <c r="L130" s="5"/>
      <c r="M130" s="5"/>
      <c r="N130" s="5"/>
      <c r="O130" s="5"/>
      <c r="P130" s="5"/>
      <c r="Q130" s="5"/>
      <c r="R130" s="5"/>
      <c r="S130" s="5"/>
      <c r="T130" s="5"/>
      <c r="U130" s="5"/>
      <c r="V130" s="5"/>
      <c r="W130" s="5"/>
      <c r="X130" s="5"/>
      <c r="Y130" s="5"/>
      <c r="Z130" s="5"/>
      <c r="AA130" s="5"/>
      <c r="AB130" s="5"/>
      <c r="AC130" s="5"/>
      <c r="AD130" s="5"/>
      <c r="AE130" s="5"/>
      <c r="AF130" s="5"/>
      <c r="AG130" s="5"/>
      <c r="AH130" s="5"/>
      <c r="AI130" s="5"/>
      <c r="AJ130" s="5"/>
      <c r="AK130" s="5"/>
      <c r="AL130" s="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row>
    <row r="131" spans="8:83" x14ac:dyDescent="0.25">
      <c r="H131" s="5"/>
      <c r="I131" s="5"/>
      <c r="J131" s="5"/>
      <c r="K131" s="5"/>
      <c r="L131" s="5"/>
      <c r="M131" s="5"/>
      <c r="N131" s="5"/>
      <c r="O131" s="5"/>
      <c r="P131" s="5"/>
      <c r="Q131" s="5"/>
      <c r="R131" s="5"/>
      <c r="S131" s="5"/>
      <c r="T131" s="5"/>
      <c r="U131" s="5"/>
      <c r="V131" s="5"/>
      <c r="W131" s="5"/>
      <c r="X131" s="5"/>
      <c r="Y131" s="5"/>
      <c r="Z131" s="5"/>
      <c r="AA131" s="5"/>
      <c r="AB131" s="5"/>
      <c r="AC131" s="5"/>
      <c r="AD131" s="5"/>
      <c r="AE131" s="5"/>
      <c r="AF131" s="5"/>
      <c r="AG131" s="5"/>
      <c r="AH131" s="5"/>
      <c r="AI131" s="5"/>
      <c r="AJ131" s="5"/>
      <c r="AK131" s="5"/>
      <c r="AL131" s="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row>
    <row r="132" spans="8:83" x14ac:dyDescent="0.25">
      <c r="H132" s="5"/>
      <c r="I132" s="5"/>
      <c r="J132" s="5"/>
      <c r="K132" s="5"/>
      <c r="L132" s="5"/>
      <c r="M132" s="5"/>
      <c r="N132" s="5"/>
      <c r="O132" s="5"/>
      <c r="P132" s="5"/>
      <c r="Q132" s="5"/>
      <c r="R132" s="5"/>
      <c r="S132" s="5"/>
      <c r="T132" s="5"/>
      <c r="U132" s="5"/>
      <c r="V132" s="5"/>
      <c r="W132" s="5"/>
      <c r="X132" s="5"/>
      <c r="Y132" s="5"/>
      <c r="Z132" s="5"/>
      <c r="AA132" s="5"/>
      <c r="AB132" s="5"/>
      <c r="AC132" s="5"/>
      <c r="AD132" s="5"/>
      <c r="AE132" s="5"/>
      <c r="AF132" s="5"/>
      <c r="AG132" s="5"/>
      <c r="AH132" s="5"/>
      <c r="AI132" s="5"/>
      <c r="AJ132" s="5"/>
      <c r="AK132" s="5"/>
      <c r="AL132" s="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row>
    <row r="133" spans="8:83" x14ac:dyDescent="0.25">
      <c r="H133" s="5"/>
      <c r="I133" s="5"/>
      <c r="J133" s="5"/>
      <c r="K133" s="5"/>
      <c r="L133" s="5"/>
      <c r="M133" s="5"/>
      <c r="N133" s="5"/>
      <c r="O133" s="5"/>
      <c r="P133" s="5"/>
      <c r="Q133" s="5"/>
      <c r="R133" s="5"/>
      <c r="S133" s="5"/>
      <c r="T133" s="5"/>
      <c r="U133" s="5"/>
      <c r="V133" s="5"/>
      <c r="W133" s="5"/>
      <c r="X133" s="5"/>
      <c r="Y133" s="5"/>
      <c r="Z133" s="5"/>
      <c r="AA133" s="5"/>
      <c r="AB133" s="5"/>
      <c r="AC133" s="5"/>
      <c r="AD133" s="5"/>
      <c r="AE133" s="5"/>
      <c r="AF133" s="5"/>
      <c r="AG133" s="5"/>
      <c r="AH133" s="5"/>
      <c r="AI133" s="5"/>
      <c r="AJ133" s="5"/>
      <c r="AK133" s="5"/>
      <c r="AL133" s="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row>
    <row r="134" spans="8:83" x14ac:dyDescent="0.25">
      <c r="H134" s="5"/>
      <c r="I134" s="5"/>
      <c r="J134" s="5"/>
      <c r="K134" s="5"/>
      <c r="L134" s="5"/>
      <c r="M134" s="5"/>
      <c r="N134" s="5"/>
      <c r="O134" s="5"/>
      <c r="P134" s="5"/>
      <c r="Q134" s="5"/>
      <c r="R134" s="5"/>
      <c r="S134" s="5"/>
      <c r="T134" s="5"/>
      <c r="U134" s="5"/>
      <c r="V134" s="5"/>
      <c r="W134" s="5"/>
      <c r="X134" s="5"/>
      <c r="Y134" s="5"/>
      <c r="Z134" s="5"/>
      <c r="AA134" s="5"/>
      <c r="AB134" s="5"/>
      <c r="AC134" s="5"/>
      <c r="AD134" s="5"/>
      <c r="AE134" s="5"/>
      <c r="AF134" s="5"/>
      <c r="AG134" s="5"/>
      <c r="AH134" s="5"/>
      <c r="AI134" s="5"/>
      <c r="AJ134" s="5"/>
      <c r="AK134" s="5"/>
      <c r="AL134" s="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row>
    <row r="135" spans="8:83" x14ac:dyDescent="0.25">
      <c r="H135" s="5"/>
      <c r="I135" s="5"/>
      <c r="J135" s="5"/>
      <c r="K135" s="5"/>
      <c r="L135" s="5"/>
      <c r="M135" s="5"/>
      <c r="N135" s="5"/>
      <c r="O135" s="5"/>
      <c r="P135" s="5"/>
      <c r="Q135" s="5"/>
      <c r="R135" s="5"/>
      <c r="S135" s="5"/>
      <c r="T135" s="5"/>
      <c r="U135" s="5"/>
      <c r="V135" s="5"/>
      <c r="W135" s="5"/>
      <c r="X135" s="5"/>
      <c r="Y135" s="5"/>
      <c r="Z135" s="5"/>
      <c r="AA135" s="5"/>
      <c r="AB135" s="5"/>
      <c r="AC135" s="5"/>
      <c r="AD135" s="5"/>
      <c r="AE135" s="5"/>
      <c r="AF135" s="5"/>
      <c r="AG135" s="5"/>
      <c r="AH135" s="5"/>
      <c r="AI135" s="5"/>
      <c r="AJ135" s="5"/>
      <c r="AK135" s="5"/>
      <c r="AL135" s="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row>
    <row r="136" spans="8:83" x14ac:dyDescent="0.25">
      <c r="H136" s="5"/>
      <c r="I136" s="5"/>
      <c r="J136" s="5"/>
      <c r="K136" s="5"/>
      <c r="L136" s="5"/>
      <c r="M136" s="5"/>
      <c r="N136" s="5"/>
      <c r="O136" s="5"/>
      <c r="P136" s="5"/>
      <c r="Q136" s="5"/>
      <c r="R136" s="5"/>
      <c r="S136" s="5"/>
      <c r="T136" s="5"/>
      <c r="U136" s="5"/>
      <c r="V136" s="5"/>
      <c r="W136" s="5"/>
      <c r="X136" s="5"/>
      <c r="Y136" s="5"/>
      <c r="Z136" s="5"/>
      <c r="AA136" s="5"/>
      <c r="AB136" s="5"/>
      <c r="AC136" s="5"/>
      <c r="AD136" s="5"/>
      <c r="AE136" s="5"/>
      <c r="AF136" s="5"/>
      <c r="AG136" s="5"/>
      <c r="AH136" s="5"/>
      <c r="AI136" s="5"/>
      <c r="AJ136" s="5"/>
      <c r="AK136" s="5"/>
      <c r="AL136" s="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row>
    <row r="137" spans="8:83" x14ac:dyDescent="0.25">
      <c r="H137" s="5"/>
      <c r="I137" s="5"/>
      <c r="J137" s="5"/>
      <c r="K137" s="5"/>
      <c r="L137" s="5"/>
      <c r="M137" s="5"/>
      <c r="N137" s="5"/>
      <c r="O137" s="5"/>
      <c r="P137" s="5"/>
      <c r="Q137" s="5"/>
      <c r="R137" s="5"/>
      <c r="S137" s="5"/>
      <c r="T137" s="5"/>
      <c r="U137" s="5"/>
      <c r="V137" s="5"/>
      <c r="W137" s="5"/>
      <c r="X137" s="5"/>
      <c r="Y137" s="5"/>
      <c r="Z137" s="5"/>
      <c r="AA137" s="5"/>
      <c r="AB137" s="5"/>
      <c r="AC137" s="5"/>
      <c r="AD137" s="5"/>
      <c r="AE137" s="5"/>
      <c r="AF137" s="5"/>
      <c r="AG137" s="5"/>
      <c r="AH137" s="5"/>
      <c r="AI137" s="5"/>
      <c r="AJ137" s="5"/>
      <c r="AK137" s="5"/>
      <c r="AL137" s="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row>
    <row r="138" spans="8:83" x14ac:dyDescent="0.2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row>
    <row r="139" spans="8:83" x14ac:dyDescent="0.2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row>
    <row r="140" spans="8:83" x14ac:dyDescent="0.25">
      <c r="H140" s="5"/>
      <c r="I140" s="5"/>
      <c r="J140" s="5"/>
      <c r="K140" s="5"/>
      <c r="L140" s="5"/>
      <c r="M140" s="5"/>
      <c r="N140" s="5"/>
      <c r="O140" s="5"/>
      <c r="P140" s="5"/>
      <c r="Q140" s="5"/>
      <c r="R140" s="5"/>
      <c r="S140" s="5"/>
      <c r="T140" s="5"/>
      <c r="U140" s="5"/>
      <c r="V140" s="5"/>
      <c r="W140" s="5"/>
      <c r="X140" s="5"/>
      <c r="Y140" s="5"/>
      <c r="Z140" s="5"/>
      <c r="AA140" s="5"/>
      <c r="AB140" s="5"/>
      <c r="AC140" s="5"/>
      <c r="AD140" s="5"/>
      <c r="AE140" s="5"/>
      <c r="AF140" s="5"/>
      <c r="AG140" s="5"/>
      <c r="AH140" s="5"/>
      <c r="AI140" s="5"/>
      <c r="AJ140" s="5"/>
      <c r="AK140" s="5"/>
      <c r="AL140" s="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row>
    <row r="141" spans="8:83" x14ac:dyDescent="0.25">
      <c r="H141" s="5"/>
      <c r="I141" s="5"/>
      <c r="J141" s="5"/>
      <c r="K141" s="5"/>
      <c r="L141" s="5"/>
      <c r="M141" s="5"/>
      <c r="N141" s="5"/>
      <c r="O141" s="5"/>
      <c r="P141" s="5"/>
      <c r="Q141" s="5"/>
      <c r="R141" s="5"/>
      <c r="S141" s="5"/>
      <c r="T141" s="5"/>
      <c r="U141" s="5"/>
      <c r="V141" s="5"/>
      <c r="W141" s="5"/>
      <c r="X141" s="5"/>
      <c r="Y141" s="5"/>
      <c r="Z141" s="5"/>
      <c r="AA141" s="5"/>
      <c r="AB141" s="5"/>
      <c r="AC141" s="5"/>
      <c r="AD141" s="5"/>
      <c r="AE141" s="5"/>
      <c r="AF141" s="5"/>
      <c r="AG141" s="5"/>
      <c r="AH141" s="5"/>
      <c r="AI141" s="5"/>
      <c r="AJ141" s="5"/>
      <c r="AK141" s="5"/>
      <c r="AL141" s="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row>
    <row r="142" spans="8:83" x14ac:dyDescent="0.25">
      <c r="H142" s="5"/>
      <c r="I142" s="5"/>
      <c r="J142" s="5"/>
      <c r="K142" s="5"/>
      <c r="L142" s="5"/>
      <c r="M142" s="5"/>
      <c r="N142" s="5"/>
      <c r="O142" s="5"/>
      <c r="P142" s="5"/>
      <c r="Q142" s="5"/>
      <c r="R142" s="5"/>
      <c r="S142" s="5"/>
      <c r="T142" s="5"/>
      <c r="U142" s="5"/>
      <c r="V142" s="5"/>
      <c r="W142" s="5"/>
      <c r="X142" s="5"/>
      <c r="Y142" s="5"/>
      <c r="Z142" s="5"/>
      <c r="AA142" s="5"/>
      <c r="AB142" s="5"/>
      <c r="AC142" s="5"/>
      <c r="AD142" s="5"/>
      <c r="AE142" s="5"/>
      <c r="AF142" s="5"/>
      <c r="AG142" s="5"/>
      <c r="AH142" s="5"/>
      <c r="AI142" s="5"/>
      <c r="AJ142" s="5"/>
      <c r="AK142" s="5"/>
      <c r="AL142" s="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row>
    <row r="143" spans="8:83" x14ac:dyDescent="0.25">
      <c r="H143" s="5"/>
      <c r="I143" s="5"/>
      <c r="J143" s="5"/>
      <c r="K143" s="5"/>
      <c r="L143" s="5"/>
      <c r="M143" s="5"/>
      <c r="N143" s="5"/>
      <c r="O143" s="5"/>
      <c r="P143" s="5"/>
      <c r="Q143" s="5"/>
      <c r="R143" s="5"/>
      <c r="S143" s="5"/>
      <c r="T143" s="5"/>
      <c r="U143" s="5"/>
      <c r="V143" s="5"/>
      <c r="W143" s="5"/>
      <c r="X143" s="5"/>
      <c r="Y143" s="5"/>
      <c r="Z143" s="5"/>
      <c r="AA143" s="5"/>
      <c r="AB143" s="5"/>
      <c r="AC143" s="5"/>
      <c r="AD143" s="5"/>
      <c r="AE143" s="5"/>
      <c r="AF143" s="5"/>
      <c r="AG143" s="5"/>
      <c r="AH143" s="5"/>
      <c r="AI143" s="5"/>
      <c r="AJ143" s="5"/>
      <c r="AK143" s="5"/>
      <c r="AL143" s="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row>
    <row r="144" spans="8:83" x14ac:dyDescent="0.25">
      <c r="H144" s="5"/>
      <c r="I144" s="5"/>
      <c r="J144" s="5"/>
      <c r="K144" s="5"/>
      <c r="L144" s="5"/>
      <c r="M144" s="5"/>
      <c r="N144" s="5"/>
      <c r="O144" s="5"/>
      <c r="P144" s="5"/>
      <c r="Q144" s="5"/>
      <c r="R144" s="5"/>
      <c r="S144" s="5"/>
      <c r="T144" s="5"/>
      <c r="U144" s="5"/>
      <c r="V144" s="5"/>
      <c r="W144" s="5"/>
      <c r="X144" s="5"/>
      <c r="Y144" s="5"/>
      <c r="Z144" s="5"/>
      <c r="AA144" s="5"/>
      <c r="AB144" s="5"/>
      <c r="AC144" s="5"/>
      <c r="AD144" s="5"/>
      <c r="AE144" s="5"/>
      <c r="AF144" s="5"/>
      <c r="AG144" s="5"/>
      <c r="AH144" s="5"/>
      <c r="AI144" s="5"/>
      <c r="AJ144" s="5"/>
      <c r="AK144" s="5"/>
      <c r="AL144" s="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row>
    <row r="145" spans="8:83" x14ac:dyDescent="0.25">
      <c r="H145" s="5"/>
      <c r="I145" s="5"/>
      <c r="J145" s="5"/>
      <c r="K145" s="5"/>
      <c r="L145" s="5"/>
      <c r="M145" s="5"/>
      <c r="N145" s="5"/>
      <c r="O145" s="5"/>
      <c r="P145" s="5"/>
      <c r="Q145" s="5"/>
      <c r="R145" s="5"/>
      <c r="S145" s="5"/>
      <c r="T145" s="5"/>
      <c r="U145" s="5"/>
      <c r="V145" s="5"/>
      <c r="W145" s="5"/>
      <c r="X145" s="5"/>
      <c r="Y145" s="5"/>
      <c r="Z145" s="5"/>
      <c r="AA145" s="5"/>
      <c r="AB145" s="5"/>
      <c r="AC145" s="5"/>
      <c r="AD145" s="5"/>
      <c r="AE145" s="5"/>
      <c r="AF145" s="5"/>
      <c r="AG145" s="5"/>
      <c r="AH145" s="5"/>
      <c r="AI145" s="5"/>
      <c r="AJ145" s="5"/>
      <c r="AK145" s="5"/>
      <c r="AL145" s="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row>
    <row r="146" spans="8:83" x14ac:dyDescent="0.25">
      <c r="H146" s="5"/>
      <c r="I146" s="5"/>
      <c r="J146" s="5"/>
      <c r="K146" s="5"/>
      <c r="L146" s="5"/>
      <c r="M146" s="5"/>
      <c r="N146" s="5"/>
      <c r="O146" s="5"/>
      <c r="P146" s="5"/>
      <c r="Q146" s="5"/>
      <c r="R146" s="5"/>
      <c r="S146" s="5"/>
      <c r="T146" s="5"/>
      <c r="U146" s="5"/>
      <c r="V146" s="5"/>
      <c r="W146" s="5"/>
      <c r="X146" s="5"/>
      <c r="Y146" s="5"/>
      <c r="Z146" s="5"/>
      <c r="AA146" s="5"/>
      <c r="AB146" s="5"/>
      <c r="AC146" s="5"/>
      <c r="AD146" s="5"/>
      <c r="AE146" s="5"/>
      <c r="AF146" s="5"/>
      <c r="AG146" s="5"/>
      <c r="AH146" s="5"/>
      <c r="AI146" s="5"/>
      <c r="AJ146" s="5"/>
      <c r="AK146" s="5"/>
      <c r="AL146" s="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row>
    <row r="147" spans="8:83" x14ac:dyDescent="0.25">
      <c r="H147" s="5"/>
      <c r="I147" s="5"/>
      <c r="J147" s="5"/>
      <c r="K147" s="5"/>
      <c r="L147" s="5"/>
      <c r="M147" s="5"/>
      <c r="N147" s="5"/>
      <c r="O147" s="5"/>
      <c r="P147" s="5"/>
      <c r="Q147" s="5"/>
      <c r="R147" s="5"/>
      <c r="S147" s="5"/>
      <c r="T147" s="5"/>
      <c r="U147" s="5"/>
      <c r="V147" s="5"/>
      <c r="W147" s="5"/>
      <c r="X147" s="5"/>
      <c r="Y147" s="5"/>
      <c r="Z147" s="5"/>
      <c r="AA147" s="5"/>
      <c r="AB147" s="5"/>
      <c r="AC147" s="5"/>
      <c r="AD147" s="5"/>
      <c r="AE147" s="5"/>
      <c r="AF147" s="5"/>
      <c r="AG147" s="5"/>
      <c r="AH147" s="5"/>
      <c r="AI147" s="5"/>
      <c r="AJ147" s="5"/>
      <c r="AK147" s="5"/>
      <c r="AL147" s="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row>
    <row r="148" spans="8:83" x14ac:dyDescent="0.25">
      <c r="H148" s="5"/>
      <c r="I148" s="5"/>
      <c r="J148" s="5"/>
      <c r="K148" s="5"/>
      <c r="L148" s="5"/>
      <c r="M148" s="5"/>
      <c r="N148" s="5"/>
      <c r="O148" s="5"/>
      <c r="P148" s="5"/>
      <c r="Q148" s="5"/>
      <c r="R148" s="5"/>
      <c r="S148" s="5"/>
      <c r="T148" s="5"/>
      <c r="U148" s="5"/>
      <c r="V148" s="5"/>
      <c r="W148" s="5"/>
      <c r="X148" s="5"/>
      <c r="Y148" s="5"/>
      <c r="Z148" s="5"/>
      <c r="AA148" s="5"/>
      <c r="AB148" s="5"/>
      <c r="AC148" s="5"/>
      <c r="AD148" s="5"/>
      <c r="AE148" s="5"/>
      <c r="AF148" s="5"/>
      <c r="AG148" s="5"/>
      <c r="AH148" s="5"/>
      <c r="AI148" s="5"/>
      <c r="AJ148" s="5"/>
      <c r="AK148" s="5"/>
      <c r="AL148" s="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row>
    <row r="149" spans="8:83" x14ac:dyDescent="0.25">
      <c r="H149" s="5"/>
      <c r="I149" s="5"/>
      <c r="J149" s="5"/>
      <c r="K149" s="5"/>
      <c r="L149" s="5"/>
      <c r="M149" s="5"/>
      <c r="N149" s="5"/>
      <c r="O149" s="5"/>
      <c r="P149" s="5"/>
      <c r="Q149" s="5"/>
      <c r="R149" s="5"/>
      <c r="S149" s="5"/>
      <c r="T149" s="5"/>
      <c r="U149" s="5"/>
      <c r="V149" s="5"/>
      <c r="W149" s="5"/>
      <c r="X149" s="5"/>
      <c r="Y149" s="5"/>
      <c r="Z149" s="5"/>
      <c r="AA149" s="5"/>
      <c r="AB149" s="5"/>
      <c r="AC149" s="5"/>
      <c r="AD149" s="5"/>
      <c r="AE149" s="5"/>
      <c r="AF149" s="5"/>
      <c r="AG149" s="5"/>
      <c r="AH149" s="5"/>
      <c r="AI149" s="5"/>
      <c r="AJ149" s="5"/>
      <c r="AK149" s="5"/>
      <c r="AL149" s="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row>
    <row r="150" spans="8:83" x14ac:dyDescent="0.2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row>
    <row r="151" spans="8:83" x14ac:dyDescent="0.25">
      <c r="H151" s="5"/>
      <c r="I151" s="5"/>
      <c r="J151" s="5"/>
      <c r="K151" s="5"/>
      <c r="L151" s="5"/>
      <c r="M151" s="5"/>
      <c r="N151" s="5"/>
      <c r="O151" s="5"/>
      <c r="P151" s="5"/>
      <c r="Q151" s="5"/>
      <c r="R151" s="5"/>
      <c r="S151" s="5"/>
      <c r="T151" s="5"/>
      <c r="U151" s="5"/>
      <c r="V151" s="5"/>
      <c r="W151" s="5"/>
      <c r="X151" s="5"/>
      <c r="Y151" s="5"/>
      <c r="Z151" s="5"/>
      <c r="AA151" s="5"/>
      <c r="AB151" s="5"/>
      <c r="AC151" s="5"/>
      <c r="AD151" s="5"/>
      <c r="AE151" s="5"/>
      <c r="AF151" s="5"/>
      <c r="AG151" s="5"/>
      <c r="AH151" s="5"/>
      <c r="AI151" s="5"/>
      <c r="AJ151" s="5"/>
      <c r="AK151" s="5"/>
      <c r="AL151" s="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row>
    <row r="152" spans="8:83" x14ac:dyDescent="0.25">
      <c r="H152" s="5"/>
      <c r="I152" s="5"/>
      <c r="J152" s="5"/>
      <c r="K152" s="5"/>
      <c r="L152" s="5"/>
      <c r="M152" s="5"/>
      <c r="N152" s="5"/>
      <c r="O152" s="5"/>
      <c r="P152" s="5"/>
      <c r="Q152" s="5"/>
      <c r="R152" s="5"/>
      <c r="S152" s="5"/>
      <c r="T152" s="5"/>
      <c r="U152" s="5"/>
      <c r="V152" s="5"/>
      <c r="W152" s="5"/>
      <c r="X152" s="5"/>
      <c r="Y152" s="5"/>
      <c r="Z152" s="5"/>
      <c r="AA152" s="5"/>
      <c r="AB152" s="5"/>
      <c r="AC152" s="5"/>
      <c r="AD152" s="5"/>
      <c r="AE152" s="5"/>
      <c r="AF152" s="5"/>
      <c r="AG152" s="5"/>
      <c r="AH152" s="5"/>
      <c r="AI152" s="5"/>
      <c r="AJ152" s="5"/>
      <c r="AK152" s="5"/>
      <c r="AL152" s="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row>
    <row r="153" spans="8:83" x14ac:dyDescent="0.25">
      <c r="H153" s="5"/>
      <c r="I153" s="5"/>
      <c r="J153" s="5"/>
      <c r="K153" s="5"/>
      <c r="L153" s="5"/>
      <c r="M153" s="5"/>
      <c r="N153" s="5"/>
      <c r="O153" s="5"/>
      <c r="P153" s="5"/>
      <c r="Q153" s="5"/>
      <c r="R153" s="5"/>
      <c r="S153" s="5"/>
      <c r="T153" s="5"/>
      <c r="U153" s="5"/>
      <c r="V153" s="5"/>
      <c r="W153" s="5"/>
      <c r="X153" s="5"/>
      <c r="Y153" s="5"/>
      <c r="Z153" s="5"/>
      <c r="AA153" s="5"/>
      <c r="AB153" s="5"/>
      <c r="AC153" s="5"/>
      <c r="AD153" s="5"/>
      <c r="AE153" s="5"/>
      <c r="AF153" s="5"/>
      <c r="AG153" s="5"/>
      <c r="AH153" s="5"/>
      <c r="AI153" s="5"/>
      <c r="AJ153" s="5"/>
      <c r="AK153" s="5"/>
      <c r="AL153" s="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row>
    <row r="154" spans="8:83" x14ac:dyDescent="0.25">
      <c r="H154" s="5"/>
      <c r="I154" s="5"/>
      <c r="J154" s="5"/>
      <c r="K154" s="5"/>
      <c r="L154" s="5"/>
      <c r="M154" s="5"/>
      <c r="N154" s="5"/>
      <c r="O154" s="5"/>
      <c r="P154" s="5"/>
      <c r="Q154" s="5"/>
      <c r="R154" s="5"/>
      <c r="S154" s="5"/>
      <c r="T154" s="5"/>
      <c r="U154" s="5"/>
      <c r="V154" s="5"/>
      <c r="W154" s="5"/>
      <c r="X154" s="5"/>
      <c r="Y154" s="5"/>
      <c r="Z154" s="5"/>
      <c r="AA154" s="5"/>
      <c r="AB154" s="5"/>
      <c r="AC154" s="5"/>
      <c r="AD154" s="5"/>
      <c r="AE154" s="5"/>
      <c r="AF154" s="5"/>
      <c r="AG154" s="5"/>
      <c r="AH154" s="5"/>
      <c r="AI154" s="5"/>
      <c r="AJ154" s="5"/>
      <c r="AK154" s="5"/>
      <c r="AL154" s="5"/>
      <c r="AM154" s="5"/>
      <c r="AN154" s="5"/>
      <c r="AO154" s="5"/>
      <c r="AP154" s="5"/>
      <c r="AQ154" s="5"/>
      <c r="AR154" s="5"/>
      <c r="AS154" s="5"/>
      <c r="AT154" s="5"/>
      <c r="AU154" s="5"/>
      <c r="AV154" s="5"/>
      <c r="AW154" s="5"/>
      <c r="AX154" s="5"/>
      <c r="AY154" s="5"/>
      <c r="AZ154" s="5"/>
      <c r="BA154" s="5"/>
      <c r="BB154" s="5"/>
      <c r="BC154" s="5"/>
      <c r="BD154" s="5"/>
      <c r="BE154" s="5"/>
      <c r="BF154" s="5"/>
      <c r="BG154" s="5"/>
      <c r="BH154" s="5"/>
    </row>
    <row r="155" spans="8:83" x14ac:dyDescent="0.25">
      <c r="BH155" s="5"/>
    </row>
    <row r="156" spans="8:83" x14ac:dyDescent="0.25">
      <c r="BH156" s="5"/>
    </row>
  </sheetData>
  <mergeCells count="5">
    <mergeCell ref="C16:E16"/>
    <mergeCell ref="E17:E18"/>
    <mergeCell ref="D17:D18"/>
    <mergeCell ref="C17:C18"/>
    <mergeCell ref="A16:B18"/>
  </mergeCells>
  <dataValidations count="1">
    <dataValidation type="list" allowBlank="1" showInputMessage="1" showErrorMessage="1" sqref="A10:A13" xr:uid="{8B7F05B3-8ACB-45CB-8FC8-2748618B4E41}">
      <formula1>$I$6:$I$10</formula1>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theme="0" tint="-0.499984740745262"/>
  </sheetPr>
  <dimension ref="A1:BS40"/>
  <sheetViews>
    <sheetView zoomScale="110" zoomScaleNormal="110" workbookViewId="0">
      <selection activeCell="H16" sqref="H16"/>
    </sheetView>
  </sheetViews>
  <sheetFormatPr defaultColWidth="8.88671875" defaultRowHeight="13.2" x14ac:dyDescent="0.25"/>
  <cols>
    <col min="1" max="1" width="15.6640625" style="1" bestFit="1" customWidth="1"/>
    <col min="2" max="2" width="16.6640625" style="1" bestFit="1" customWidth="1"/>
    <col min="3" max="3" width="6.6640625" style="1" customWidth="1"/>
    <col min="4" max="4" width="6.109375" style="1" customWidth="1"/>
    <col min="5" max="5" width="7.33203125" style="1" customWidth="1"/>
    <col min="6" max="39" width="6.109375" style="1" customWidth="1"/>
    <col min="40" max="255" width="9.109375" style="1"/>
    <col min="256" max="256" width="30.44140625" style="1" customWidth="1"/>
    <col min="257" max="257" width="43.6640625" style="1" bestFit="1" customWidth="1"/>
    <col min="258" max="258" width="35.33203125" style="1" customWidth="1"/>
    <col min="259" max="259" width="6.6640625" style="1" customWidth="1"/>
    <col min="260" max="294" width="6.109375" style="1" customWidth="1"/>
    <col min="295" max="511" width="9.109375" style="1"/>
    <col min="512" max="512" width="30.44140625" style="1" customWidth="1"/>
    <col min="513" max="513" width="43.6640625" style="1" bestFit="1" customWidth="1"/>
    <col min="514" max="514" width="35.33203125" style="1" customWidth="1"/>
    <col min="515" max="515" width="6.6640625" style="1" customWidth="1"/>
    <col min="516" max="550" width="6.109375" style="1" customWidth="1"/>
    <col min="551" max="767" width="9.109375" style="1"/>
    <col min="768" max="768" width="30.44140625" style="1" customWidth="1"/>
    <col min="769" max="769" width="43.6640625" style="1" bestFit="1" customWidth="1"/>
    <col min="770" max="770" width="35.33203125" style="1" customWidth="1"/>
    <col min="771" max="771" width="6.6640625" style="1" customWidth="1"/>
    <col min="772" max="806" width="6.109375" style="1" customWidth="1"/>
    <col min="807" max="1023" width="9.109375" style="1"/>
    <col min="1024" max="1024" width="30.44140625" style="1" customWidth="1"/>
    <col min="1025" max="1025" width="43.6640625" style="1" bestFit="1" customWidth="1"/>
    <col min="1026" max="1026" width="35.33203125" style="1" customWidth="1"/>
    <col min="1027" max="1027" width="6.6640625" style="1" customWidth="1"/>
    <col min="1028" max="1062" width="6.109375" style="1" customWidth="1"/>
    <col min="1063" max="1279" width="9.109375" style="1"/>
    <col min="1280" max="1280" width="30.44140625" style="1" customWidth="1"/>
    <col min="1281" max="1281" width="43.6640625" style="1" bestFit="1" customWidth="1"/>
    <col min="1282" max="1282" width="35.33203125" style="1" customWidth="1"/>
    <col min="1283" max="1283" width="6.6640625" style="1" customWidth="1"/>
    <col min="1284" max="1318" width="6.109375" style="1" customWidth="1"/>
    <col min="1319" max="1535" width="9.109375" style="1"/>
    <col min="1536" max="1536" width="30.44140625" style="1" customWidth="1"/>
    <col min="1537" max="1537" width="43.6640625" style="1" bestFit="1" customWidth="1"/>
    <col min="1538" max="1538" width="35.33203125" style="1" customWidth="1"/>
    <col min="1539" max="1539" width="6.6640625" style="1" customWidth="1"/>
    <col min="1540" max="1574" width="6.109375" style="1" customWidth="1"/>
    <col min="1575" max="1791" width="9.109375" style="1"/>
    <col min="1792" max="1792" width="30.44140625" style="1" customWidth="1"/>
    <col min="1793" max="1793" width="43.6640625" style="1" bestFit="1" customWidth="1"/>
    <col min="1794" max="1794" width="35.33203125" style="1" customWidth="1"/>
    <col min="1795" max="1795" width="6.6640625" style="1" customWidth="1"/>
    <col min="1796" max="1830" width="6.109375" style="1" customWidth="1"/>
    <col min="1831" max="2047" width="9.109375" style="1"/>
    <col min="2048" max="2048" width="30.44140625" style="1" customWidth="1"/>
    <col min="2049" max="2049" width="43.6640625" style="1" bestFit="1" customWidth="1"/>
    <col min="2050" max="2050" width="35.33203125" style="1" customWidth="1"/>
    <col min="2051" max="2051" width="6.6640625" style="1" customWidth="1"/>
    <col min="2052" max="2086" width="6.109375" style="1" customWidth="1"/>
    <col min="2087" max="2303" width="9.109375" style="1"/>
    <col min="2304" max="2304" width="30.44140625" style="1" customWidth="1"/>
    <col min="2305" max="2305" width="43.6640625" style="1" bestFit="1" customWidth="1"/>
    <col min="2306" max="2306" width="35.33203125" style="1" customWidth="1"/>
    <col min="2307" max="2307" width="6.6640625" style="1" customWidth="1"/>
    <col min="2308" max="2342" width="6.109375" style="1" customWidth="1"/>
    <col min="2343" max="2559" width="9.109375" style="1"/>
    <col min="2560" max="2560" width="30.44140625" style="1" customWidth="1"/>
    <col min="2561" max="2561" width="43.6640625" style="1" bestFit="1" customWidth="1"/>
    <col min="2562" max="2562" width="35.33203125" style="1" customWidth="1"/>
    <col min="2563" max="2563" width="6.6640625" style="1" customWidth="1"/>
    <col min="2564" max="2598" width="6.109375" style="1" customWidth="1"/>
    <col min="2599" max="2815" width="9.109375" style="1"/>
    <col min="2816" max="2816" width="30.44140625" style="1" customWidth="1"/>
    <col min="2817" max="2817" width="43.6640625" style="1" bestFit="1" customWidth="1"/>
    <col min="2818" max="2818" width="35.33203125" style="1" customWidth="1"/>
    <col min="2819" max="2819" width="6.6640625" style="1" customWidth="1"/>
    <col min="2820" max="2854" width="6.109375" style="1" customWidth="1"/>
    <col min="2855" max="3071" width="9.109375" style="1"/>
    <col min="3072" max="3072" width="30.44140625" style="1" customWidth="1"/>
    <col min="3073" max="3073" width="43.6640625" style="1" bestFit="1" customWidth="1"/>
    <col min="3074" max="3074" width="35.33203125" style="1" customWidth="1"/>
    <col min="3075" max="3075" width="6.6640625" style="1" customWidth="1"/>
    <col min="3076" max="3110" width="6.109375" style="1" customWidth="1"/>
    <col min="3111" max="3327" width="9.109375" style="1"/>
    <col min="3328" max="3328" width="30.44140625" style="1" customWidth="1"/>
    <col min="3329" max="3329" width="43.6640625" style="1" bestFit="1" customWidth="1"/>
    <col min="3330" max="3330" width="35.33203125" style="1" customWidth="1"/>
    <col min="3331" max="3331" width="6.6640625" style="1" customWidth="1"/>
    <col min="3332" max="3366" width="6.109375" style="1" customWidth="1"/>
    <col min="3367" max="3583" width="9.109375" style="1"/>
    <col min="3584" max="3584" width="30.44140625" style="1" customWidth="1"/>
    <col min="3585" max="3585" width="43.6640625" style="1" bestFit="1" customWidth="1"/>
    <col min="3586" max="3586" width="35.33203125" style="1" customWidth="1"/>
    <col min="3587" max="3587" width="6.6640625" style="1" customWidth="1"/>
    <col min="3588" max="3622" width="6.109375" style="1" customWidth="1"/>
    <col min="3623" max="3839" width="9.109375" style="1"/>
    <col min="3840" max="3840" width="30.44140625" style="1" customWidth="1"/>
    <col min="3841" max="3841" width="43.6640625" style="1" bestFit="1" customWidth="1"/>
    <col min="3842" max="3842" width="35.33203125" style="1" customWidth="1"/>
    <col min="3843" max="3843" width="6.6640625" style="1" customWidth="1"/>
    <col min="3844" max="3878" width="6.109375" style="1" customWidth="1"/>
    <col min="3879" max="4095" width="9.109375" style="1"/>
    <col min="4096" max="4096" width="30.44140625" style="1" customWidth="1"/>
    <col min="4097" max="4097" width="43.6640625" style="1" bestFit="1" customWidth="1"/>
    <col min="4098" max="4098" width="35.33203125" style="1" customWidth="1"/>
    <col min="4099" max="4099" width="6.6640625" style="1" customWidth="1"/>
    <col min="4100" max="4134" width="6.109375" style="1" customWidth="1"/>
    <col min="4135" max="4351" width="9.109375" style="1"/>
    <col min="4352" max="4352" width="30.44140625" style="1" customWidth="1"/>
    <col min="4353" max="4353" width="43.6640625" style="1" bestFit="1" customWidth="1"/>
    <col min="4354" max="4354" width="35.33203125" style="1" customWidth="1"/>
    <col min="4355" max="4355" width="6.6640625" style="1" customWidth="1"/>
    <col min="4356" max="4390" width="6.109375" style="1" customWidth="1"/>
    <col min="4391" max="4607" width="9.109375" style="1"/>
    <col min="4608" max="4608" width="30.44140625" style="1" customWidth="1"/>
    <col min="4609" max="4609" width="43.6640625" style="1" bestFit="1" customWidth="1"/>
    <col min="4610" max="4610" width="35.33203125" style="1" customWidth="1"/>
    <col min="4611" max="4611" width="6.6640625" style="1" customWidth="1"/>
    <col min="4612" max="4646" width="6.109375" style="1" customWidth="1"/>
    <col min="4647" max="4863" width="9.109375" style="1"/>
    <col min="4864" max="4864" width="30.44140625" style="1" customWidth="1"/>
    <col min="4865" max="4865" width="43.6640625" style="1" bestFit="1" customWidth="1"/>
    <col min="4866" max="4866" width="35.33203125" style="1" customWidth="1"/>
    <col min="4867" max="4867" width="6.6640625" style="1" customWidth="1"/>
    <col min="4868" max="4902" width="6.109375" style="1" customWidth="1"/>
    <col min="4903" max="5119" width="9.109375" style="1"/>
    <col min="5120" max="5120" width="30.44140625" style="1" customWidth="1"/>
    <col min="5121" max="5121" width="43.6640625" style="1" bestFit="1" customWidth="1"/>
    <col min="5122" max="5122" width="35.33203125" style="1" customWidth="1"/>
    <col min="5123" max="5123" width="6.6640625" style="1" customWidth="1"/>
    <col min="5124" max="5158" width="6.109375" style="1" customWidth="1"/>
    <col min="5159" max="5375" width="9.109375" style="1"/>
    <col min="5376" max="5376" width="30.44140625" style="1" customWidth="1"/>
    <col min="5377" max="5377" width="43.6640625" style="1" bestFit="1" customWidth="1"/>
    <col min="5378" max="5378" width="35.33203125" style="1" customWidth="1"/>
    <col min="5379" max="5379" width="6.6640625" style="1" customWidth="1"/>
    <col min="5380" max="5414" width="6.109375" style="1" customWidth="1"/>
    <col min="5415" max="5631" width="9.109375" style="1"/>
    <col min="5632" max="5632" width="30.44140625" style="1" customWidth="1"/>
    <col min="5633" max="5633" width="43.6640625" style="1" bestFit="1" customWidth="1"/>
    <col min="5634" max="5634" width="35.33203125" style="1" customWidth="1"/>
    <col min="5635" max="5635" width="6.6640625" style="1" customWidth="1"/>
    <col min="5636" max="5670" width="6.109375" style="1" customWidth="1"/>
    <col min="5671" max="5887" width="9.109375" style="1"/>
    <col min="5888" max="5888" width="30.44140625" style="1" customWidth="1"/>
    <col min="5889" max="5889" width="43.6640625" style="1" bestFit="1" customWidth="1"/>
    <col min="5890" max="5890" width="35.33203125" style="1" customWidth="1"/>
    <col min="5891" max="5891" width="6.6640625" style="1" customWidth="1"/>
    <col min="5892" max="5926" width="6.109375" style="1" customWidth="1"/>
    <col min="5927" max="6143" width="9.109375" style="1"/>
    <col min="6144" max="6144" width="30.44140625" style="1" customWidth="1"/>
    <col min="6145" max="6145" width="43.6640625" style="1" bestFit="1" customWidth="1"/>
    <col min="6146" max="6146" width="35.33203125" style="1" customWidth="1"/>
    <col min="6147" max="6147" width="6.6640625" style="1" customWidth="1"/>
    <col min="6148" max="6182" width="6.109375" style="1" customWidth="1"/>
    <col min="6183" max="6399" width="9.109375" style="1"/>
    <col min="6400" max="6400" width="30.44140625" style="1" customWidth="1"/>
    <col min="6401" max="6401" width="43.6640625" style="1" bestFit="1" customWidth="1"/>
    <col min="6402" max="6402" width="35.33203125" style="1" customWidth="1"/>
    <col min="6403" max="6403" width="6.6640625" style="1" customWidth="1"/>
    <col min="6404" max="6438" width="6.109375" style="1" customWidth="1"/>
    <col min="6439" max="6655" width="9.109375" style="1"/>
    <col min="6656" max="6656" width="30.44140625" style="1" customWidth="1"/>
    <col min="6657" max="6657" width="43.6640625" style="1" bestFit="1" customWidth="1"/>
    <col min="6658" max="6658" width="35.33203125" style="1" customWidth="1"/>
    <col min="6659" max="6659" width="6.6640625" style="1" customWidth="1"/>
    <col min="6660" max="6694" width="6.109375" style="1" customWidth="1"/>
    <col min="6695" max="6911" width="9.109375" style="1"/>
    <col min="6912" max="6912" width="30.44140625" style="1" customWidth="1"/>
    <col min="6913" max="6913" width="43.6640625" style="1" bestFit="1" customWidth="1"/>
    <col min="6914" max="6914" width="35.33203125" style="1" customWidth="1"/>
    <col min="6915" max="6915" width="6.6640625" style="1" customWidth="1"/>
    <col min="6916" max="6950" width="6.109375" style="1" customWidth="1"/>
    <col min="6951" max="7167" width="9.109375" style="1"/>
    <col min="7168" max="7168" width="30.44140625" style="1" customWidth="1"/>
    <col min="7169" max="7169" width="43.6640625" style="1" bestFit="1" customWidth="1"/>
    <col min="7170" max="7170" width="35.33203125" style="1" customWidth="1"/>
    <col min="7171" max="7171" width="6.6640625" style="1" customWidth="1"/>
    <col min="7172" max="7206" width="6.109375" style="1" customWidth="1"/>
    <col min="7207" max="7423" width="9.109375" style="1"/>
    <col min="7424" max="7424" width="30.44140625" style="1" customWidth="1"/>
    <col min="7425" max="7425" width="43.6640625" style="1" bestFit="1" customWidth="1"/>
    <col min="7426" max="7426" width="35.33203125" style="1" customWidth="1"/>
    <col min="7427" max="7427" width="6.6640625" style="1" customWidth="1"/>
    <col min="7428" max="7462" width="6.109375" style="1" customWidth="1"/>
    <col min="7463" max="7679" width="9.109375" style="1"/>
    <col min="7680" max="7680" width="30.44140625" style="1" customWidth="1"/>
    <col min="7681" max="7681" width="43.6640625" style="1" bestFit="1" customWidth="1"/>
    <col min="7682" max="7682" width="35.33203125" style="1" customWidth="1"/>
    <col min="7683" max="7683" width="6.6640625" style="1" customWidth="1"/>
    <col min="7684" max="7718" width="6.109375" style="1" customWidth="1"/>
    <col min="7719" max="7935" width="9.109375" style="1"/>
    <col min="7936" max="7936" width="30.44140625" style="1" customWidth="1"/>
    <col min="7937" max="7937" width="43.6640625" style="1" bestFit="1" customWidth="1"/>
    <col min="7938" max="7938" width="35.33203125" style="1" customWidth="1"/>
    <col min="7939" max="7939" width="6.6640625" style="1" customWidth="1"/>
    <col min="7940" max="7974" width="6.109375" style="1" customWidth="1"/>
    <col min="7975" max="8191" width="9.109375" style="1"/>
    <col min="8192" max="8192" width="30.44140625" style="1" customWidth="1"/>
    <col min="8193" max="8193" width="43.6640625" style="1" bestFit="1" customWidth="1"/>
    <col min="8194" max="8194" width="35.33203125" style="1" customWidth="1"/>
    <col min="8195" max="8195" width="6.6640625" style="1" customWidth="1"/>
    <col min="8196" max="8230" width="6.109375" style="1" customWidth="1"/>
    <col min="8231" max="8447" width="9.109375" style="1"/>
    <col min="8448" max="8448" width="30.44140625" style="1" customWidth="1"/>
    <col min="8449" max="8449" width="43.6640625" style="1" bestFit="1" customWidth="1"/>
    <col min="8450" max="8450" width="35.33203125" style="1" customWidth="1"/>
    <col min="8451" max="8451" width="6.6640625" style="1" customWidth="1"/>
    <col min="8452" max="8486" width="6.109375" style="1" customWidth="1"/>
    <col min="8487" max="8703" width="9.109375" style="1"/>
    <col min="8704" max="8704" width="30.44140625" style="1" customWidth="1"/>
    <col min="8705" max="8705" width="43.6640625" style="1" bestFit="1" customWidth="1"/>
    <col min="8706" max="8706" width="35.33203125" style="1" customWidth="1"/>
    <col min="8707" max="8707" width="6.6640625" style="1" customWidth="1"/>
    <col min="8708" max="8742" width="6.109375" style="1" customWidth="1"/>
    <col min="8743" max="8959" width="9.109375" style="1"/>
    <col min="8960" max="8960" width="30.44140625" style="1" customWidth="1"/>
    <col min="8961" max="8961" width="43.6640625" style="1" bestFit="1" customWidth="1"/>
    <col min="8962" max="8962" width="35.33203125" style="1" customWidth="1"/>
    <col min="8963" max="8963" width="6.6640625" style="1" customWidth="1"/>
    <col min="8964" max="8998" width="6.109375" style="1" customWidth="1"/>
    <col min="8999" max="9215" width="9.109375" style="1"/>
    <col min="9216" max="9216" width="30.44140625" style="1" customWidth="1"/>
    <col min="9217" max="9217" width="43.6640625" style="1" bestFit="1" customWidth="1"/>
    <col min="9218" max="9218" width="35.33203125" style="1" customWidth="1"/>
    <col min="9219" max="9219" width="6.6640625" style="1" customWidth="1"/>
    <col min="9220" max="9254" width="6.109375" style="1" customWidth="1"/>
    <col min="9255" max="9471" width="9.109375" style="1"/>
    <col min="9472" max="9472" width="30.44140625" style="1" customWidth="1"/>
    <col min="9473" max="9473" width="43.6640625" style="1" bestFit="1" customWidth="1"/>
    <col min="9474" max="9474" width="35.33203125" style="1" customWidth="1"/>
    <col min="9475" max="9475" width="6.6640625" style="1" customWidth="1"/>
    <col min="9476" max="9510" width="6.109375" style="1" customWidth="1"/>
    <col min="9511" max="9727" width="9.109375" style="1"/>
    <col min="9728" max="9728" width="30.44140625" style="1" customWidth="1"/>
    <col min="9729" max="9729" width="43.6640625" style="1" bestFit="1" customWidth="1"/>
    <col min="9730" max="9730" width="35.33203125" style="1" customWidth="1"/>
    <col min="9731" max="9731" width="6.6640625" style="1" customWidth="1"/>
    <col min="9732" max="9766" width="6.109375" style="1" customWidth="1"/>
    <col min="9767" max="9983" width="9.109375" style="1"/>
    <col min="9984" max="9984" width="30.44140625" style="1" customWidth="1"/>
    <col min="9985" max="9985" width="43.6640625" style="1" bestFit="1" customWidth="1"/>
    <col min="9986" max="9986" width="35.33203125" style="1" customWidth="1"/>
    <col min="9987" max="9987" width="6.6640625" style="1" customWidth="1"/>
    <col min="9988" max="10022" width="6.109375" style="1" customWidth="1"/>
    <col min="10023" max="10239" width="9.109375" style="1"/>
    <col min="10240" max="10240" width="30.44140625" style="1" customWidth="1"/>
    <col min="10241" max="10241" width="43.6640625" style="1" bestFit="1" customWidth="1"/>
    <col min="10242" max="10242" width="35.33203125" style="1" customWidth="1"/>
    <col min="10243" max="10243" width="6.6640625" style="1" customWidth="1"/>
    <col min="10244" max="10278" width="6.109375" style="1" customWidth="1"/>
    <col min="10279" max="10495" width="9.109375" style="1"/>
    <col min="10496" max="10496" width="30.44140625" style="1" customWidth="1"/>
    <col min="10497" max="10497" width="43.6640625" style="1" bestFit="1" customWidth="1"/>
    <col min="10498" max="10498" width="35.33203125" style="1" customWidth="1"/>
    <col min="10499" max="10499" width="6.6640625" style="1" customWidth="1"/>
    <col min="10500" max="10534" width="6.109375" style="1" customWidth="1"/>
    <col min="10535" max="10751" width="9.109375" style="1"/>
    <col min="10752" max="10752" width="30.44140625" style="1" customWidth="1"/>
    <col min="10753" max="10753" width="43.6640625" style="1" bestFit="1" customWidth="1"/>
    <col min="10754" max="10754" width="35.33203125" style="1" customWidth="1"/>
    <col min="10755" max="10755" width="6.6640625" style="1" customWidth="1"/>
    <col min="10756" max="10790" width="6.109375" style="1" customWidth="1"/>
    <col min="10791" max="11007" width="9.109375" style="1"/>
    <col min="11008" max="11008" width="30.44140625" style="1" customWidth="1"/>
    <col min="11009" max="11009" width="43.6640625" style="1" bestFit="1" customWidth="1"/>
    <col min="11010" max="11010" width="35.33203125" style="1" customWidth="1"/>
    <col min="11011" max="11011" width="6.6640625" style="1" customWidth="1"/>
    <col min="11012" max="11046" width="6.109375" style="1" customWidth="1"/>
    <col min="11047" max="11263" width="9.109375" style="1"/>
    <col min="11264" max="11264" width="30.44140625" style="1" customWidth="1"/>
    <col min="11265" max="11265" width="43.6640625" style="1" bestFit="1" customWidth="1"/>
    <col min="11266" max="11266" width="35.33203125" style="1" customWidth="1"/>
    <col min="11267" max="11267" width="6.6640625" style="1" customWidth="1"/>
    <col min="11268" max="11302" width="6.109375" style="1" customWidth="1"/>
    <col min="11303" max="11519" width="9.109375" style="1"/>
    <col min="11520" max="11520" width="30.44140625" style="1" customWidth="1"/>
    <col min="11521" max="11521" width="43.6640625" style="1" bestFit="1" customWidth="1"/>
    <col min="11522" max="11522" width="35.33203125" style="1" customWidth="1"/>
    <col min="11523" max="11523" width="6.6640625" style="1" customWidth="1"/>
    <col min="11524" max="11558" width="6.109375" style="1" customWidth="1"/>
    <col min="11559" max="11775" width="9.109375" style="1"/>
    <col min="11776" max="11776" width="30.44140625" style="1" customWidth="1"/>
    <col min="11777" max="11777" width="43.6640625" style="1" bestFit="1" customWidth="1"/>
    <col min="11778" max="11778" width="35.33203125" style="1" customWidth="1"/>
    <col min="11779" max="11779" width="6.6640625" style="1" customWidth="1"/>
    <col min="11780" max="11814" width="6.109375" style="1" customWidth="1"/>
    <col min="11815" max="12031" width="9.109375" style="1"/>
    <col min="12032" max="12032" width="30.44140625" style="1" customWidth="1"/>
    <col min="12033" max="12033" width="43.6640625" style="1" bestFit="1" customWidth="1"/>
    <col min="12034" max="12034" width="35.33203125" style="1" customWidth="1"/>
    <col min="12035" max="12035" width="6.6640625" style="1" customWidth="1"/>
    <col min="12036" max="12070" width="6.109375" style="1" customWidth="1"/>
    <col min="12071" max="12287" width="9.109375" style="1"/>
    <col min="12288" max="12288" width="30.44140625" style="1" customWidth="1"/>
    <col min="12289" max="12289" width="43.6640625" style="1" bestFit="1" customWidth="1"/>
    <col min="12290" max="12290" width="35.33203125" style="1" customWidth="1"/>
    <col min="12291" max="12291" width="6.6640625" style="1" customWidth="1"/>
    <col min="12292" max="12326" width="6.109375" style="1" customWidth="1"/>
    <col min="12327" max="12543" width="9.109375" style="1"/>
    <col min="12544" max="12544" width="30.44140625" style="1" customWidth="1"/>
    <col min="12545" max="12545" width="43.6640625" style="1" bestFit="1" customWidth="1"/>
    <col min="12546" max="12546" width="35.33203125" style="1" customWidth="1"/>
    <col min="12547" max="12547" width="6.6640625" style="1" customWidth="1"/>
    <col min="12548" max="12582" width="6.109375" style="1" customWidth="1"/>
    <col min="12583" max="12799" width="9.109375" style="1"/>
    <col min="12800" max="12800" width="30.44140625" style="1" customWidth="1"/>
    <col min="12801" max="12801" width="43.6640625" style="1" bestFit="1" customWidth="1"/>
    <col min="12802" max="12802" width="35.33203125" style="1" customWidth="1"/>
    <col min="12803" max="12803" width="6.6640625" style="1" customWidth="1"/>
    <col min="12804" max="12838" width="6.109375" style="1" customWidth="1"/>
    <col min="12839" max="13055" width="9.109375" style="1"/>
    <col min="13056" max="13056" width="30.44140625" style="1" customWidth="1"/>
    <col min="13057" max="13057" width="43.6640625" style="1" bestFit="1" customWidth="1"/>
    <col min="13058" max="13058" width="35.33203125" style="1" customWidth="1"/>
    <col min="13059" max="13059" width="6.6640625" style="1" customWidth="1"/>
    <col min="13060" max="13094" width="6.109375" style="1" customWidth="1"/>
    <col min="13095" max="13311" width="9.109375" style="1"/>
    <col min="13312" max="13312" width="30.44140625" style="1" customWidth="1"/>
    <col min="13313" max="13313" width="43.6640625" style="1" bestFit="1" customWidth="1"/>
    <col min="13314" max="13314" width="35.33203125" style="1" customWidth="1"/>
    <col min="13315" max="13315" width="6.6640625" style="1" customWidth="1"/>
    <col min="13316" max="13350" width="6.109375" style="1" customWidth="1"/>
    <col min="13351" max="13567" width="9.109375" style="1"/>
    <col min="13568" max="13568" width="30.44140625" style="1" customWidth="1"/>
    <col min="13569" max="13569" width="43.6640625" style="1" bestFit="1" customWidth="1"/>
    <col min="13570" max="13570" width="35.33203125" style="1" customWidth="1"/>
    <col min="13571" max="13571" width="6.6640625" style="1" customWidth="1"/>
    <col min="13572" max="13606" width="6.109375" style="1" customWidth="1"/>
    <col min="13607" max="13823" width="9.109375" style="1"/>
    <col min="13824" max="13824" width="30.44140625" style="1" customWidth="1"/>
    <col min="13825" max="13825" width="43.6640625" style="1" bestFit="1" customWidth="1"/>
    <col min="13826" max="13826" width="35.33203125" style="1" customWidth="1"/>
    <col min="13827" max="13827" width="6.6640625" style="1" customWidth="1"/>
    <col min="13828" max="13862" width="6.109375" style="1" customWidth="1"/>
    <col min="13863" max="14079" width="9.109375" style="1"/>
    <col min="14080" max="14080" width="30.44140625" style="1" customWidth="1"/>
    <col min="14081" max="14081" width="43.6640625" style="1" bestFit="1" customWidth="1"/>
    <col min="14082" max="14082" width="35.33203125" style="1" customWidth="1"/>
    <col min="14083" max="14083" width="6.6640625" style="1" customWidth="1"/>
    <col min="14084" max="14118" width="6.109375" style="1" customWidth="1"/>
    <col min="14119" max="14335" width="9.109375" style="1"/>
    <col min="14336" max="14336" width="30.44140625" style="1" customWidth="1"/>
    <col min="14337" max="14337" width="43.6640625" style="1" bestFit="1" customWidth="1"/>
    <col min="14338" max="14338" width="35.33203125" style="1" customWidth="1"/>
    <col min="14339" max="14339" width="6.6640625" style="1" customWidth="1"/>
    <col min="14340" max="14374" width="6.109375" style="1" customWidth="1"/>
    <col min="14375" max="14591" width="9.109375" style="1"/>
    <col min="14592" max="14592" width="30.44140625" style="1" customWidth="1"/>
    <col min="14593" max="14593" width="43.6640625" style="1" bestFit="1" customWidth="1"/>
    <col min="14594" max="14594" width="35.33203125" style="1" customWidth="1"/>
    <col min="14595" max="14595" width="6.6640625" style="1" customWidth="1"/>
    <col min="14596" max="14630" width="6.109375" style="1" customWidth="1"/>
    <col min="14631" max="14847" width="9.109375" style="1"/>
    <col min="14848" max="14848" width="30.44140625" style="1" customWidth="1"/>
    <col min="14849" max="14849" width="43.6640625" style="1" bestFit="1" customWidth="1"/>
    <col min="14850" max="14850" width="35.33203125" style="1" customWidth="1"/>
    <col min="14851" max="14851" width="6.6640625" style="1" customWidth="1"/>
    <col min="14852" max="14886" width="6.109375" style="1" customWidth="1"/>
    <col min="14887" max="15103" width="9.109375" style="1"/>
    <col min="15104" max="15104" width="30.44140625" style="1" customWidth="1"/>
    <col min="15105" max="15105" width="43.6640625" style="1" bestFit="1" customWidth="1"/>
    <col min="15106" max="15106" width="35.33203125" style="1" customWidth="1"/>
    <col min="15107" max="15107" width="6.6640625" style="1" customWidth="1"/>
    <col min="15108" max="15142" width="6.109375" style="1" customWidth="1"/>
    <col min="15143" max="15359" width="9.109375" style="1"/>
    <col min="15360" max="15360" width="30.44140625" style="1" customWidth="1"/>
    <col min="15361" max="15361" width="43.6640625" style="1" bestFit="1" customWidth="1"/>
    <col min="15362" max="15362" width="35.33203125" style="1" customWidth="1"/>
    <col min="15363" max="15363" width="6.6640625" style="1" customWidth="1"/>
    <col min="15364" max="15398" width="6.109375" style="1" customWidth="1"/>
    <col min="15399" max="15615" width="9.109375" style="1"/>
    <col min="15616" max="15616" width="30.44140625" style="1" customWidth="1"/>
    <col min="15617" max="15617" width="43.6640625" style="1" bestFit="1" customWidth="1"/>
    <col min="15618" max="15618" width="35.33203125" style="1" customWidth="1"/>
    <col min="15619" max="15619" width="6.6640625" style="1" customWidth="1"/>
    <col min="15620" max="15654" width="6.109375" style="1" customWidth="1"/>
    <col min="15655" max="15871" width="9.109375" style="1"/>
    <col min="15872" max="15872" width="30.44140625" style="1" customWidth="1"/>
    <col min="15873" max="15873" width="43.6640625" style="1" bestFit="1" customWidth="1"/>
    <col min="15874" max="15874" width="35.33203125" style="1" customWidth="1"/>
    <col min="15875" max="15875" width="6.6640625" style="1" customWidth="1"/>
    <col min="15876" max="15910" width="6.109375" style="1" customWidth="1"/>
    <col min="15911" max="16127" width="9.109375" style="1"/>
    <col min="16128" max="16128" width="30.44140625" style="1" customWidth="1"/>
    <col min="16129" max="16129" width="43.6640625" style="1" bestFit="1" customWidth="1"/>
    <col min="16130" max="16130" width="35.33203125" style="1" customWidth="1"/>
    <col min="16131" max="16131" width="6.6640625" style="1" customWidth="1"/>
    <col min="16132" max="16166" width="6.109375" style="1" customWidth="1"/>
    <col min="16167" max="16384" width="9.109375" style="1"/>
  </cols>
  <sheetData>
    <row r="1" spans="1:71" s="28" customFormat="1" x14ac:dyDescent="0.25">
      <c r="A1" s="28" t="s">
        <v>195</v>
      </c>
      <c r="C1" s="30"/>
      <c r="E1" s="29"/>
      <c r="F1" s="29"/>
      <c r="G1" s="29"/>
      <c r="H1" s="29"/>
      <c r="I1" s="29"/>
      <c r="J1" s="29"/>
      <c r="K1" s="29"/>
      <c r="L1" s="29"/>
      <c r="M1" s="29"/>
      <c r="N1" s="29"/>
      <c r="O1" s="29"/>
      <c r="P1" s="29"/>
      <c r="Q1" s="29"/>
      <c r="R1" s="29"/>
      <c r="S1" s="29"/>
      <c r="T1" s="29"/>
      <c r="U1" s="29"/>
      <c r="V1" s="29"/>
      <c r="W1" s="29"/>
      <c r="X1" s="29"/>
      <c r="Y1" s="29"/>
      <c r="Z1" s="29"/>
      <c r="AA1" s="29"/>
      <c r="AB1" s="29"/>
      <c r="AC1" s="29"/>
      <c r="AD1" s="29"/>
      <c r="AE1" s="29"/>
      <c r="AF1" s="29"/>
      <c r="AG1" s="29"/>
      <c r="AH1" s="29"/>
      <c r="AI1" s="29"/>
      <c r="AJ1" s="29"/>
      <c r="AK1" s="29"/>
      <c r="AL1" s="29"/>
      <c r="AM1" s="29"/>
      <c r="AN1" s="29"/>
      <c r="AO1" s="29"/>
      <c r="AP1" s="29"/>
      <c r="AQ1" s="29"/>
      <c r="AR1" s="29"/>
      <c r="AS1" s="29"/>
      <c r="AT1" s="29"/>
      <c r="AU1" s="29"/>
      <c r="AV1" s="29"/>
      <c r="AW1" s="29"/>
      <c r="AX1" s="29"/>
      <c r="AY1" s="29"/>
      <c r="AZ1" s="29"/>
      <c r="BA1" s="29"/>
      <c r="BB1" s="29"/>
      <c r="BC1" s="29"/>
      <c r="BD1" s="29"/>
      <c r="BE1" s="29"/>
      <c r="BF1" s="29"/>
      <c r="BG1" s="29"/>
      <c r="BH1" s="29"/>
      <c r="BI1" s="29"/>
      <c r="BJ1" s="29"/>
      <c r="BK1" s="29"/>
      <c r="BL1" s="29"/>
    </row>
    <row r="2" spans="1:71" s="32" customFormat="1" ht="16.2" x14ac:dyDescent="0.25">
      <c r="A2" s="31"/>
      <c r="B2" s="31" t="s">
        <v>196</v>
      </c>
      <c r="C2" s="31" t="s">
        <v>197</v>
      </c>
      <c r="D2" s="31">
        <v>2020</v>
      </c>
      <c r="E2" s="31">
        <v>2021</v>
      </c>
      <c r="F2" s="31">
        <v>2022</v>
      </c>
      <c r="G2" s="31">
        <v>2023</v>
      </c>
      <c r="H2" s="31">
        <v>2024</v>
      </c>
      <c r="I2" s="31">
        <v>2025</v>
      </c>
      <c r="J2" s="31">
        <v>2026</v>
      </c>
      <c r="K2" s="31">
        <v>2027</v>
      </c>
      <c r="L2" s="31">
        <v>2028</v>
      </c>
      <c r="M2" s="31">
        <v>2029</v>
      </c>
      <c r="N2" s="31">
        <v>2030</v>
      </c>
      <c r="O2" s="31">
        <v>2031</v>
      </c>
      <c r="P2" s="31">
        <v>2032</v>
      </c>
      <c r="Q2" s="31">
        <v>2033</v>
      </c>
      <c r="R2" s="31">
        <v>2034</v>
      </c>
      <c r="S2" s="31">
        <v>2035</v>
      </c>
      <c r="T2" s="31">
        <v>2036</v>
      </c>
      <c r="U2" s="31">
        <v>2037</v>
      </c>
      <c r="V2" s="31">
        <v>2038</v>
      </c>
      <c r="W2" s="31">
        <v>2039</v>
      </c>
      <c r="X2" s="31">
        <v>2040</v>
      </c>
      <c r="Y2" s="31">
        <v>2041</v>
      </c>
      <c r="Z2" s="31">
        <v>2042</v>
      </c>
      <c r="AA2" s="31">
        <v>2043</v>
      </c>
      <c r="AB2" s="31">
        <v>2044</v>
      </c>
      <c r="AC2" s="31">
        <v>2045</v>
      </c>
      <c r="AD2" s="31">
        <v>2046</v>
      </c>
      <c r="AE2" s="31">
        <v>2047</v>
      </c>
      <c r="AF2" s="31">
        <v>2048</v>
      </c>
      <c r="AG2" s="31">
        <v>2049</v>
      </c>
      <c r="AH2" s="31">
        <v>2050</v>
      </c>
      <c r="AI2" s="31">
        <v>2051</v>
      </c>
      <c r="AJ2" s="31">
        <v>2052</v>
      </c>
      <c r="AK2" s="31">
        <v>2053</v>
      </c>
      <c r="AL2" s="31">
        <v>2054</v>
      </c>
      <c r="AM2" s="31">
        <v>2055</v>
      </c>
      <c r="AN2" s="31">
        <v>2056</v>
      </c>
      <c r="AO2" s="31">
        <v>2057</v>
      </c>
      <c r="AP2" s="31">
        <v>2058</v>
      </c>
      <c r="AQ2" s="31">
        <v>2059</v>
      </c>
      <c r="AR2" s="31">
        <v>2060</v>
      </c>
      <c r="AS2" s="31">
        <v>2061</v>
      </c>
      <c r="AT2" s="31">
        <v>2062</v>
      </c>
      <c r="AU2" s="31">
        <v>2063</v>
      </c>
      <c r="AV2" s="31">
        <v>2064</v>
      </c>
      <c r="AW2" s="31">
        <v>2065</v>
      </c>
      <c r="AX2" s="31">
        <v>2066</v>
      </c>
      <c r="AY2" s="31">
        <v>2067</v>
      </c>
      <c r="AZ2" s="31">
        <v>2068</v>
      </c>
      <c r="BA2" s="31">
        <v>2069</v>
      </c>
      <c r="BB2" s="31">
        <v>2070</v>
      </c>
      <c r="BC2" s="31">
        <v>2071</v>
      </c>
      <c r="BD2" s="31">
        <v>2072</v>
      </c>
      <c r="BE2" s="31">
        <v>2073</v>
      </c>
      <c r="BF2" s="31">
        <v>2074</v>
      </c>
      <c r="BG2" s="31">
        <v>2075</v>
      </c>
      <c r="BH2" s="31">
        <v>2076</v>
      </c>
      <c r="BI2" s="31">
        <v>2077</v>
      </c>
      <c r="BJ2" s="31">
        <v>2078</v>
      </c>
      <c r="BK2" s="31">
        <v>2079</v>
      </c>
      <c r="BL2" s="31">
        <v>2080</v>
      </c>
      <c r="BM2" s="1"/>
      <c r="BN2" s="1"/>
      <c r="BO2" s="1"/>
      <c r="BP2" s="1"/>
      <c r="BQ2" s="1"/>
      <c r="BR2" s="1"/>
      <c r="BS2" s="1"/>
    </row>
    <row r="3" spans="1:71" s="32" customFormat="1" ht="15.6" customHeight="1" x14ac:dyDescent="0.25">
      <c r="A3" s="32" t="s">
        <v>198</v>
      </c>
      <c r="B3" s="32" t="s">
        <v>199</v>
      </c>
      <c r="C3" s="32" t="s">
        <v>22</v>
      </c>
      <c r="D3" s="44">
        <v>13.931594689125848</v>
      </c>
      <c r="E3" s="107">
        <v>13.712721800000001</v>
      </c>
      <c r="F3" s="107">
        <v>13.9943844</v>
      </c>
      <c r="G3" s="107">
        <v>14.285313199999999</v>
      </c>
      <c r="H3" s="107">
        <v>14.281805200000001</v>
      </c>
      <c r="I3" s="107">
        <v>14.257168</v>
      </c>
      <c r="J3" s="107">
        <v>14.3408622</v>
      </c>
      <c r="K3" s="107">
        <v>14.7330329</v>
      </c>
      <c r="L3" s="107">
        <v>14.227790000000001</v>
      </c>
      <c r="M3" s="107">
        <v>14.02623</v>
      </c>
      <c r="N3" s="107">
        <v>14.125173500000001</v>
      </c>
      <c r="O3" s="107">
        <v>14.001605400000001</v>
      </c>
      <c r="P3" s="107">
        <v>14.0099365</v>
      </c>
      <c r="Q3" s="107">
        <v>13.662429100000001</v>
      </c>
      <c r="R3" s="107">
        <v>13.2811179</v>
      </c>
      <c r="S3" s="107">
        <v>12.886029199999999</v>
      </c>
      <c r="T3" s="107">
        <v>12.432119</v>
      </c>
      <c r="U3" s="45">
        <f>T3</f>
        <v>12.432119</v>
      </c>
      <c r="V3" s="45">
        <f t="shared" ref="V3:AR9" si="0">U3</f>
        <v>12.432119</v>
      </c>
      <c r="W3" s="45">
        <f t="shared" si="0"/>
        <v>12.432119</v>
      </c>
      <c r="X3" s="45">
        <f t="shared" si="0"/>
        <v>12.432119</v>
      </c>
      <c r="Y3" s="45">
        <f t="shared" si="0"/>
        <v>12.432119</v>
      </c>
      <c r="Z3" s="45">
        <f t="shared" si="0"/>
        <v>12.432119</v>
      </c>
      <c r="AA3" s="45">
        <f t="shared" si="0"/>
        <v>12.432119</v>
      </c>
      <c r="AB3" s="45">
        <f t="shared" si="0"/>
        <v>12.432119</v>
      </c>
      <c r="AC3" s="45">
        <f t="shared" si="0"/>
        <v>12.432119</v>
      </c>
      <c r="AD3" s="45">
        <f t="shared" si="0"/>
        <v>12.432119</v>
      </c>
      <c r="AE3" s="45">
        <f t="shared" si="0"/>
        <v>12.432119</v>
      </c>
      <c r="AF3" s="45">
        <f t="shared" si="0"/>
        <v>12.432119</v>
      </c>
      <c r="AG3" s="45">
        <f t="shared" si="0"/>
        <v>12.432119</v>
      </c>
      <c r="AH3" s="45">
        <f t="shared" si="0"/>
        <v>12.432119</v>
      </c>
      <c r="AI3" s="45">
        <f t="shared" si="0"/>
        <v>12.432119</v>
      </c>
      <c r="AJ3" s="45">
        <f t="shared" si="0"/>
        <v>12.432119</v>
      </c>
      <c r="AK3" s="45">
        <f t="shared" si="0"/>
        <v>12.432119</v>
      </c>
      <c r="AL3" s="45">
        <f t="shared" si="0"/>
        <v>12.432119</v>
      </c>
      <c r="AM3" s="45">
        <f t="shared" si="0"/>
        <v>12.432119</v>
      </c>
      <c r="AN3" s="45">
        <f t="shared" si="0"/>
        <v>12.432119</v>
      </c>
      <c r="AO3" s="45">
        <f t="shared" si="0"/>
        <v>12.432119</v>
      </c>
      <c r="AP3" s="45">
        <f t="shared" si="0"/>
        <v>12.432119</v>
      </c>
      <c r="AQ3" s="45">
        <f t="shared" si="0"/>
        <v>12.432119</v>
      </c>
      <c r="AR3" s="45">
        <f t="shared" si="0"/>
        <v>12.432119</v>
      </c>
      <c r="AS3" s="45">
        <f t="shared" ref="AS3:BL3" si="1">AR3</f>
        <v>12.432119</v>
      </c>
      <c r="AT3" s="45">
        <f t="shared" si="1"/>
        <v>12.432119</v>
      </c>
      <c r="AU3" s="45">
        <f t="shared" si="1"/>
        <v>12.432119</v>
      </c>
      <c r="AV3" s="45">
        <f t="shared" si="1"/>
        <v>12.432119</v>
      </c>
      <c r="AW3" s="45">
        <f t="shared" si="1"/>
        <v>12.432119</v>
      </c>
      <c r="AX3" s="45">
        <f t="shared" si="1"/>
        <v>12.432119</v>
      </c>
      <c r="AY3" s="45">
        <f t="shared" si="1"/>
        <v>12.432119</v>
      </c>
      <c r="AZ3" s="45">
        <f t="shared" si="1"/>
        <v>12.432119</v>
      </c>
      <c r="BA3" s="45">
        <f t="shared" si="1"/>
        <v>12.432119</v>
      </c>
      <c r="BB3" s="45">
        <f t="shared" si="1"/>
        <v>12.432119</v>
      </c>
      <c r="BC3" s="45">
        <f t="shared" si="1"/>
        <v>12.432119</v>
      </c>
      <c r="BD3" s="45">
        <f t="shared" si="1"/>
        <v>12.432119</v>
      </c>
      <c r="BE3" s="45">
        <f t="shared" si="1"/>
        <v>12.432119</v>
      </c>
      <c r="BF3" s="45">
        <f t="shared" si="1"/>
        <v>12.432119</v>
      </c>
      <c r="BG3" s="45">
        <f t="shared" si="1"/>
        <v>12.432119</v>
      </c>
      <c r="BH3" s="45">
        <f t="shared" si="1"/>
        <v>12.432119</v>
      </c>
      <c r="BI3" s="45">
        <f t="shared" si="1"/>
        <v>12.432119</v>
      </c>
      <c r="BJ3" s="45">
        <f t="shared" si="1"/>
        <v>12.432119</v>
      </c>
      <c r="BK3" s="45">
        <f t="shared" si="1"/>
        <v>12.432119</v>
      </c>
      <c r="BL3" s="45">
        <f t="shared" si="1"/>
        <v>12.432119</v>
      </c>
    </row>
    <row r="4" spans="1:71" s="32" customFormat="1" ht="15.6" customHeight="1" x14ac:dyDescent="0.25">
      <c r="A4" s="32" t="s">
        <v>200</v>
      </c>
      <c r="B4" s="32" t="s">
        <v>201</v>
      </c>
      <c r="C4" s="32" t="s">
        <v>22</v>
      </c>
      <c r="D4" s="33">
        <v>12.998345010630143</v>
      </c>
      <c r="E4" s="107">
        <v>13.0044588</v>
      </c>
      <c r="F4" s="107">
        <v>13.0730754</v>
      </c>
      <c r="G4" s="107">
        <v>13.225151</v>
      </c>
      <c r="H4" s="107">
        <v>13.278925600000001</v>
      </c>
      <c r="I4" s="107">
        <v>13.361713399999999</v>
      </c>
      <c r="J4" s="107">
        <v>13.4737387</v>
      </c>
      <c r="K4" s="107">
        <v>13.9722908</v>
      </c>
      <c r="L4" s="107">
        <v>13.60338</v>
      </c>
      <c r="M4" s="107">
        <v>13.331020000000001</v>
      </c>
      <c r="N4" s="107">
        <v>13.433663599999999</v>
      </c>
      <c r="O4" s="107">
        <v>13.4328982</v>
      </c>
      <c r="P4" s="107">
        <v>13.5107748</v>
      </c>
      <c r="Q4" s="107">
        <v>13.2238828</v>
      </c>
      <c r="R4" s="107">
        <v>12.770501299999999</v>
      </c>
      <c r="S4" s="107">
        <v>12.338494499999999</v>
      </c>
      <c r="T4" s="107">
        <v>11.9538653</v>
      </c>
      <c r="U4" s="45">
        <f t="shared" ref="U4:U9" si="2">T4</f>
        <v>11.9538653</v>
      </c>
      <c r="V4" s="35">
        <f t="shared" ref="V4:AI4" si="3">U4</f>
        <v>11.9538653</v>
      </c>
      <c r="W4" s="35">
        <f t="shared" si="3"/>
        <v>11.9538653</v>
      </c>
      <c r="X4" s="35">
        <f t="shared" si="3"/>
        <v>11.9538653</v>
      </c>
      <c r="Y4" s="35">
        <f t="shared" si="3"/>
        <v>11.9538653</v>
      </c>
      <c r="Z4" s="35">
        <f t="shared" si="3"/>
        <v>11.9538653</v>
      </c>
      <c r="AA4" s="35">
        <f t="shared" si="3"/>
        <v>11.9538653</v>
      </c>
      <c r="AB4" s="35">
        <f t="shared" si="3"/>
        <v>11.9538653</v>
      </c>
      <c r="AC4" s="35">
        <f t="shared" si="3"/>
        <v>11.9538653</v>
      </c>
      <c r="AD4" s="35">
        <f t="shared" si="3"/>
        <v>11.9538653</v>
      </c>
      <c r="AE4" s="35">
        <f t="shared" si="3"/>
        <v>11.9538653</v>
      </c>
      <c r="AF4" s="35">
        <f t="shared" si="3"/>
        <v>11.9538653</v>
      </c>
      <c r="AG4" s="35">
        <f t="shared" si="3"/>
        <v>11.9538653</v>
      </c>
      <c r="AH4" s="35">
        <f t="shared" si="3"/>
        <v>11.9538653</v>
      </c>
      <c r="AI4" s="35">
        <f t="shared" si="3"/>
        <v>11.9538653</v>
      </c>
      <c r="AJ4" s="35">
        <f t="shared" si="0"/>
        <v>11.9538653</v>
      </c>
      <c r="AK4" s="35">
        <f t="shared" si="0"/>
        <v>11.9538653</v>
      </c>
      <c r="AL4" s="35">
        <f t="shared" si="0"/>
        <v>11.9538653</v>
      </c>
      <c r="AM4" s="35">
        <f t="shared" si="0"/>
        <v>11.9538653</v>
      </c>
      <c r="AN4" s="35">
        <f t="shared" si="0"/>
        <v>11.9538653</v>
      </c>
      <c r="AO4" s="35">
        <f t="shared" si="0"/>
        <v>11.9538653</v>
      </c>
      <c r="AP4" s="35">
        <f t="shared" si="0"/>
        <v>11.9538653</v>
      </c>
      <c r="AQ4" s="35">
        <f t="shared" si="0"/>
        <v>11.9538653</v>
      </c>
      <c r="AR4" s="35">
        <f t="shared" si="0"/>
        <v>11.9538653</v>
      </c>
      <c r="AS4" s="35">
        <f t="shared" ref="AS4:BL4" si="4">AR4</f>
        <v>11.9538653</v>
      </c>
      <c r="AT4" s="35">
        <f t="shared" si="4"/>
        <v>11.9538653</v>
      </c>
      <c r="AU4" s="35">
        <f t="shared" si="4"/>
        <v>11.9538653</v>
      </c>
      <c r="AV4" s="35">
        <f t="shared" si="4"/>
        <v>11.9538653</v>
      </c>
      <c r="AW4" s="35">
        <f t="shared" si="4"/>
        <v>11.9538653</v>
      </c>
      <c r="AX4" s="35">
        <f t="shared" si="4"/>
        <v>11.9538653</v>
      </c>
      <c r="AY4" s="35">
        <f t="shared" si="4"/>
        <v>11.9538653</v>
      </c>
      <c r="AZ4" s="35">
        <f t="shared" si="4"/>
        <v>11.9538653</v>
      </c>
      <c r="BA4" s="35">
        <f t="shared" si="4"/>
        <v>11.9538653</v>
      </c>
      <c r="BB4" s="35">
        <f t="shared" si="4"/>
        <v>11.9538653</v>
      </c>
      <c r="BC4" s="35">
        <f t="shared" si="4"/>
        <v>11.9538653</v>
      </c>
      <c r="BD4" s="35">
        <f t="shared" si="4"/>
        <v>11.9538653</v>
      </c>
      <c r="BE4" s="35">
        <f t="shared" si="4"/>
        <v>11.9538653</v>
      </c>
      <c r="BF4" s="35">
        <f t="shared" si="4"/>
        <v>11.9538653</v>
      </c>
      <c r="BG4" s="35">
        <f t="shared" si="4"/>
        <v>11.9538653</v>
      </c>
      <c r="BH4" s="35">
        <f t="shared" si="4"/>
        <v>11.9538653</v>
      </c>
      <c r="BI4" s="35">
        <f t="shared" si="4"/>
        <v>11.9538653</v>
      </c>
      <c r="BJ4" s="35">
        <f t="shared" si="4"/>
        <v>11.9538653</v>
      </c>
      <c r="BK4" s="35">
        <f t="shared" si="4"/>
        <v>11.9538653</v>
      </c>
      <c r="BL4" s="35">
        <f t="shared" si="4"/>
        <v>11.9538653</v>
      </c>
    </row>
    <row r="5" spans="1:71" s="32" customFormat="1" ht="15.6" customHeight="1" x14ac:dyDescent="0.25">
      <c r="A5" s="32" t="s">
        <v>202</v>
      </c>
      <c r="B5" s="32" t="s">
        <v>201</v>
      </c>
      <c r="C5" s="32" t="s">
        <v>22</v>
      </c>
      <c r="D5" s="34">
        <v>15.422749951306566</v>
      </c>
      <c r="E5" s="107">
        <v>14.7803138</v>
      </c>
      <c r="F5" s="107">
        <v>15.405295000000001</v>
      </c>
      <c r="G5" s="107">
        <v>15.8456011</v>
      </c>
      <c r="H5" s="107">
        <v>15.625261500000001</v>
      </c>
      <c r="I5" s="107">
        <v>15.4859679</v>
      </c>
      <c r="J5" s="107">
        <v>15.3894681</v>
      </c>
      <c r="K5" s="107">
        <v>15.538583300000001</v>
      </c>
      <c r="L5" s="107">
        <v>15.052199999999999</v>
      </c>
      <c r="M5" s="107">
        <v>14.68455</v>
      </c>
      <c r="N5" s="107">
        <v>14.700552800000001</v>
      </c>
      <c r="O5" s="107">
        <v>14.5911615</v>
      </c>
      <c r="P5" s="107">
        <v>14.588612400000001</v>
      </c>
      <c r="Q5" s="107">
        <v>14.231133099999999</v>
      </c>
      <c r="R5" s="107">
        <v>13.7522067</v>
      </c>
      <c r="S5" s="107">
        <v>13.3647676</v>
      </c>
      <c r="T5" s="107">
        <v>12.967815999999999</v>
      </c>
      <c r="U5" s="45">
        <f t="shared" si="2"/>
        <v>12.967815999999999</v>
      </c>
      <c r="V5" s="35">
        <f t="shared" si="0"/>
        <v>12.967815999999999</v>
      </c>
      <c r="W5" s="35">
        <f t="shared" si="0"/>
        <v>12.967815999999999</v>
      </c>
      <c r="X5" s="35">
        <f t="shared" si="0"/>
        <v>12.967815999999999</v>
      </c>
      <c r="Y5" s="35">
        <f t="shared" si="0"/>
        <v>12.967815999999999</v>
      </c>
      <c r="Z5" s="35">
        <f t="shared" si="0"/>
        <v>12.967815999999999</v>
      </c>
      <c r="AA5" s="35">
        <f t="shared" si="0"/>
        <v>12.967815999999999</v>
      </c>
      <c r="AB5" s="35">
        <f t="shared" si="0"/>
        <v>12.967815999999999</v>
      </c>
      <c r="AC5" s="35">
        <f t="shared" si="0"/>
        <v>12.967815999999999</v>
      </c>
      <c r="AD5" s="35">
        <f t="shared" si="0"/>
        <v>12.967815999999999</v>
      </c>
      <c r="AE5" s="35">
        <f t="shared" si="0"/>
        <v>12.967815999999999</v>
      </c>
      <c r="AF5" s="35">
        <f t="shared" si="0"/>
        <v>12.967815999999999</v>
      </c>
      <c r="AG5" s="35">
        <f t="shared" si="0"/>
        <v>12.967815999999999</v>
      </c>
      <c r="AH5" s="35">
        <f t="shared" si="0"/>
        <v>12.967815999999999</v>
      </c>
      <c r="AI5" s="35">
        <f t="shared" si="0"/>
        <v>12.967815999999999</v>
      </c>
      <c r="AJ5" s="35">
        <f t="shared" si="0"/>
        <v>12.967815999999999</v>
      </c>
      <c r="AK5" s="35">
        <f t="shared" si="0"/>
        <v>12.967815999999999</v>
      </c>
      <c r="AL5" s="35">
        <f t="shared" si="0"/>
        <v>12.967815999999999</v>
      </c>
      <c r="AM5" s="35">
        <f t="shared" si="0"/>
        <v>12.967815999999999</v>
      </c>
      <c r="AN5" s="35">
        <f t="shared" si="0"/>
        <v>12.967815999999999</v>
      </c>
      <c r="AO5" s="35">
        <f t="shared" si="0"/>
        <v>12.967815999999999</v>
      </c>
      <c r="AP5" s="35">
        <f t="shared" si="0"/>
        <v>12.967815999999999</v>
      </c>
      <c r="AQ5" s="35">
        <f t="shared" si="0"/>
        <v>12.967815999999999</v>
      </c>
      <c r="AR5" s="35">
        <f t="shared" si="0"/>
        <v>12.967815999999999</v>
      </c>
      <c r="AS5" s="35">
        <f t="shared" ref="AS5:BL5" si="5">AR5</f>
        <v>12.967815999999999</v>
      </c>
      <c r="AT5" s="35">
        <f t="shared" si="5"/>
        <v>12.967815999999999</v>
      </c>
      <c r="AU5" s="35">
        <f t="shared" si="5"/>
        <v>12.967815999999999</v>
      </c>
      <c r="AV5" s="35">
        <f t="shared" si="5"/>
        <v>12.967815999999999</v>
      </c>
      <c r="AW5" s="35">
        <f t="shared" si="5"/>
        <v>12.967815999999999</v>
      </c>
      <c r="AX5" s="35">
        <f t="shared" si="5"/>
        <v>12.967815999999999</v>
      </c>
      <c r="AY5" s="35">
        <f t="shared" si="5"/>
        <v>12.967815999999999</v>
      </c>
      <c r="AZ5" s="35">
        <f t="shared" si="5"/>
        <v>12.967815999999999</v>
      </c>
      <c r="BA5" s="35">
        <f t="shared" si="5"/>
        <v>12.967815999999999</v>
      </c>
      <c r="BB5" s="35">
        <f t="shared" si="5"/>
        <v>12.967815999999999</v>
      </c>
      <c r="BC5" s="35">
        <f t="shared" si="5"/>
        <v>12.967815999999999</v>
      </c>
      <c r="BD5" s="35">
        <f t="shared" si="5"/>
        <v>12.967815999999999</v>
      </c>
      <c r="BE5" s="35">
        <f t="shared" si="5"/>
        <v>12.967815999999999</v>
      </c>
      <c r="BF5" s="35">
        <f t="shared" si="5"/>
        <v>12.967815999999999</v>
      </c>
      <c r="BG5" s="35">
        <f t="shared" si="5"/>
        <v>12.967815999999999</v>
      </c>
      <c r="BH5" s="35">
        <f t="shared" si="5"/>
        <v>12.967815999999999</v>
      </c>
      <c r="BI5" s="35">
        <f t="shared" si="5"/>
        <v>12.967815999999999</v>
      </c>
      <c r="BJ5" s="35">
        <f t="shared" si="5"/>
        <v>12.967815999999999</v>
      </c>
      <c r="BK5" s="35">
        <f t="shared" si="5"/>
        <v>12.967815999999999</v>
      </c>
      <c r="BL5" s="35">
        <f t="shared" si="5"/>
        <v>12.967815999999999</v>
      </c>
    </row>
    <row r="6" spans="1:71" s="32" customFormat="1" ht="15.6" customHeight="1" x14ac:dyDescent="0.25">
      <c r="A6" s="32" t="s">
        <v>203</v>
      </c>
      <c r="B6" s="32" t="s">
        <v>201</v>
      </c>
      <c r="C6" s="32" t="s">
        <v>22</v>
      </c>
      <c r="D6" s="34">
        <v>13.94658791812879</v>
      </c>
      <c r="E6" s="107">
        <v>13.7337145</v>
      </c>
      <c r="F6" s="107">
        <v>14.0098401</v>
      </c>
      <c r="G6" s="107">
        <v>14.3165844</v>
      </c>
      <c r="H6" s="107">
        <v>14.311740500000001</v>
      </c>
      <c r="I6" s="107">
        <v>14.286758499999999</v>
      </c>
      <c r="J6" s="107">
        <v>14.384345700000001</v>
      </c>
      <c r="K6" s="107">
        <v>14.762612600000001</v>
      </c>
      <c r="L6" s="107">
        <v>14.2424967</v>
      </c>
      <c r="M6" s="107">
        <v>13.9809698</v>
      </c>
      <c r="N6" s="107">
        <v>14.110110000000001</v>
      </c>
      <c r="O6" s="107">
        <v>14.03049</v>
      </c>
      <c r="P6" s="107">
        <v>14.049312</v>
      </c>
      <c r="Q6" s="107">
        <v>13.682517499999999</v>
      </c>
      <c r="R6" s="107">
        <v>13.2712374</v>
      </c>
      <c r="S6" s="107">
        <v>12.8356002</v>
      </c>
      <c r="T6" s="107">
        <v>12.4918522</v>
      </c>
      <c r="U6" s="45">
        <f t="shared" si="2"/>
        <v>12.4918522</v>
      </c>
      <c r="V6" s="35">
        <f t="shared" si="0"/>
        <v>12.4918522</v>
      </c>
      <c r="W6" s="35">
        <f t="shared" si="0"/>
        <v>12.4918522</v>
      </c>
      <c r="X6" s="35">
        <f t="shared" si="0"/>
        <v>12.4918522</v>
      </c>
      <c r="Y6" s="35">
        <f t="shared" si="0"/>
        <v>12.4918522</v>
      </c>
      <c r="Z6" s="35">
        <f t="shared" si="0"/>
        <v>12.4918522</v>
      </c>
      <c r="AA6" s="35">
        <f t="shared" si="0"/>
        <v>12.4918522</v>
      </c>
      <c r="AB6" s="35">
        <f t="shared" si="0"/>
        <v>12.4918522</v>
      </c>
      <c r="AC6" s="35">
        <f t="shared" si="0"/>
        <v>12.4918522</v>
      </c>
      <c r="AD6" s="35">
        <f t="shared" si="0"/>
        <v>12.4918522</v>
      </c>
      <c r="AE6" s="35">
        <f t="shared" si="0"/>
        <v>12.4918522</v>
      </c>
      <c r="AF6" s="35">
        <f t="shared" si="0"/>
        <v>12.4918522</v>
      </c>
      <c r="AG6" s="35">
        <f t="shared" si="0"/>
        <v>12.4918522</v>
      </c>
      <c r="AH6" s="35">
        <f t="shared" si="0"/>
        <v>12.4918522</v>
      </c>
      <c r="AI6" s="35">
        <f t="shared" si="0"/>
        <v>12.4918522</v>
      </c>
      <c r="AJ6" s="35">
        <f t="shared" si="0"/>
        <v>12.4918522</v>
      </c>
      <c r="AK6" s="35">
        <f t="shared" si="0"/>
        <v>12.4918522</v>
      </c>
      <c r="AL6" s="35">
        <f t="shared" si="0"/>
        <v>12.4918522</v>
      </c>
      <c r="AM6" s="35">
        <f t="shared" si="0"/>
        <v>12.4918522</v>
      </c>
      <c r="AN6" s="35">
        <f t="shared" si="0"/>
        <v>12.4918522</v>
      </c>
      <c r="AO6" s="35">
        <f t="shared" si="0"/>
        <v>12.4918522</v>
      </c>
      <c r="AP6" s="35">
        <f t="shared" si="0"/>
        <v>12.4918522</v>
      </c>
      <c r="AQ6" s="35">
        <f t="shared" si="0"/>
        <v>12.4918522</v>
      </c>
      <c r="AR6" s="35">
        <f t="shared" si="0"/>
        <v>12.4918522</v>
      </c>
      <c r="AS6" s="35">
        <f t="shared" ref="AS6:BL6" si="6">AR6</f>
        <v>12.4918522</v>
      </c>
      <c r="AT6" s="35">
        <f t="shared" si="6"/>
        <v>12.4918522</v>
      </c>
      <c r="AU6" s="35">
        <f t="shared" si="6"/>
        <v>12.4918522</v>
      </c>
      <c r="AV6" s="35">
        <f t="shared" si="6"/>
        <v>12.4918522</v>
      </c>
      <c r="AW6" s="35">
        <f t="shared" si="6"/>
        <v>12.4918522</v>
      </c>
      <c r="AX6" s="35">
        <f t="shared" si="6"/>
        <v>12.4918522</v>
      </c>
      <c r="AY6" s="35">
        <f t="shared" si="6"/>
        <v>12.4918522</v>
      </c>
      <c r="AZ6" s="35">
        <f t="shared" si="6"/>
        <v>12.4918522</v>
      </c>
      <c r="BA6" s="35">
        <f t="shared" si="6"/>
        <v>12.4918522</v>
      </c>
      <c r="BB6" s="35">
        <f t="shared" si="6"/>
        <v>12.4918522</v>
      </c>
      <c r="BC6" s="35">
        <f t="shared" si="6"/>
        <v>12.4918522</v>
      </c>
      <c r="BD6" s="35">
        <f t="shared" si="6"/>
        <v>12.4918522</v>
      </c>
      <c r="BE6" s="35">
        <f t="shared" si="6"/>
        <v>12.4918522</v>
      </c>
      <c r="BF6" s="35">
        <f t="shared" si="6"/>
        <v>12.4918522</v>
      </c>
      <c r="BG6" s="35">
        <f t="shared" si="6"/>
        <v>12.4918522</v>
      </c>
      <c r="BH6" s="35">
        <f t="shared" si="6"/>
        <v>12.4918522</v>
      </c>
      <c r="BI6" s="35">
        <f t="shared" si="6"/>
        <v>12.4918522</v>
      </c>
      <c r="BJ6" s="35">
        <f t="shared" si="6"/>
        <v>12.4918522</v>
      </c>
      <c r="BK6" s="35">
        <f t="shared" si="6"/>
        <v>12.4918522</v>
      </c>
      <c r="BL6" s="35">
        <f t="shared" si="6"/>
        <v>12.4918522</v>
      </c>
    </row>
    <row r="7" spans="1:71" s="32" customFormat="1" ht="15.6" customHeight="1" x14ac:dyDescent="0.25">
      <c r="A7" s="32" t="s">
        <v>204</v>
      </c>
      <c r="B7" s="32" t="s">
        <v>201</v>
      </c>
      <c r="C7" s="32" t="s">
        <v>22</v>
      </c>
      <c r="D7" s="34">
        <v>13.904948321374189</v>
      </c>
      <c r="E7" s="107">
        <v>13.6837122</v>
      </c>
      <c r="F7" s="107">
        <v>13.957680999999999</v>
      </c>
      <c r="G7" s="107">
        <v>14.263833200000001</v>
      </c>
      <c r="H7" s="107">
        <v>14.2346483</v>
      </c>
      <c r="I7" s="107">
        <v>14.201071900000001</v>
      </c>
      <c r="J7" s="107">
        <v>14.288294</v>
      </c>
      <c r="K7" s="107">
        <v>14.644159999999999</v>
      </c>
      <c r="L7" s="107">
        <v>14.170321899999999</v>
      </c>
      <c r="M7" s="107">
        <v>13.8651982</v>
      </c>
      <c r="N7" s="107">
        <v>14.0275652</v>
      </c>
      <c r="O7" s="107">
        <v>13.9044913</v>
      </c>
      <c r="P7" s="107">
        <v>13.882201500000001</v>
      </c>
      <c r="Q7" s="107">
        <v>13.612712800000001</v>
      </c>
      <c r="R7" s="107">
        <v>13.245101200000001</v>
      </c>
      <c r="S7" s="107">
        <v>12.855149600000001</v>
      </c>
      <c r="T7" s="107">
        <v>12.417408999999999</v>
      </c>
      <c r="U7" s="45">
        <f t="shared" si="2"/>
        <v>12.417408999999999</v>
      </c>
      <c r="V7" s="35">
        <f t="shared" si="0"/>
        <v>12.417408999999999</v>
      </c>
      <c r="W7" s="35">
        <f t="shared" si="0"/>
        <v>12.417408999999999</v>
      </c>
      <c r="X7" s="35">
        <f t="shared" si="0"/>
        <v>12.417408999999999</v>
      </c>
      <c r="Y7" s="35">
        <f t="shared" si="0"/>
        <v>12.417408999999999</v>
      </c>
      <c r="Z7" s="35">
        <f t="shared" si="0"/>
        <v>12.417408999999999</v>
      </c>
      <c r="AA7" s="35">
        <f t="shared" si="0"/>
        <v>12.417408999999999</v>
      </c>
      <c r="AB7" s="35">
        <f t="shared" si="0"/>
        <v>12.417408999999999</v>
      </c>
      <c r="AC7" s="35">
        <f t="shared" si="0"/>
        <v>12.417408999999999</v>
      </c>
      <c r="AD7" s="35">
        <f t="shared" si="0"/>
        <v>12.417408999999999</v>
      </c>
      <c r="AE7" s="35">
        <f t="shared" si="0"/>
        <v>12.417408999999999</v>
      </c>
      <c r="AF7" s="35">
        <f t="shared" si="0"/>
        <v>12.417408999999999</v>
      </c>
      <c r="AG7" s="35">
        <f t="shared" si="0"/>
        <v>12.417408999999999</v>
      </c>
      <c r="AH7" s="35">
        <f t="shared" si="0"/>
        <v>12.417408999999999</v>
      </c>
      <c r="AI7" s="35">
        <f t="shared" si="0"/>
        <v>12.417408999999999</v>
      </c>
      <c r="AJ7" s="35">
        <f t="shared" si="0"/>
        <v>12.417408999999999</v>
      </c>
      <c r="AK7" s="35">
        <f t="shared" si="0"/>
        <v>12.417408999999999</v>
      </c>
      <c r="AL7" s="35">
        <f t="shared" si="0"/>
        <v>12.417408999999999</v>
      </c>
      <c r="AM7" s="35">
        <f t="shared" si="0"/>
        <v>12.417408999999999</v>
      </c>
      <c r="AN7" s="35">
        <f t="shared" si="0"/>
        <v>12.417408999999999</v>
      </c>
      <c r="AO7" s="35">
        <f t="shared" si="0"/>
        <v>12.417408999999999</v>
      </c>
      <c r="AP7" s="35">
        <f t="shared" si="0"/>
        <v>12.417408999999999</v>
      </c>
      <c r="AQ7" s="35">
        <f t="shared" si="0"/>
        <v>12.417408999999999</v>
      </c>
      <c r="AR7" s="35">
        <f t="shared" si="0"/>
        <v>12.417408999999999</v>
      </c>
      <c r="AS7" s="35">
        <f t="shared" ref="AS7:BL7" si="7">AR7</f>
        <v>12.417408999999999</v>
      </c>
      <c r="AT7" s="35">
        <f t="shared" si="7"/>
        <v>12.417408999999999</v>
      </c>
      <c r="AU7" s="35">
        <f t="shared" si="7"/>
        <v>12.417408999999999</v>
      </c>
      <c r="AV7" s="35">
        <f t="shared" si="7"/>
        <v>12.417408999999999</v>
      </c>
      <c r="AW7" s="35">
        <f t="shared" si="7"/>
        <v>12.417408999999999</v>
      </c>
      <c r="AX7" s="35">
        <f t="shared" si="7"/>
        <v>12.417408999999999</v>
      </c>
      <c r="AY7" s="35">
        <f t="shared" si="7"/>
        <v>12.417408999999999</v>
      </c>
      <c r="AZ7" s="35">
        <f t="shared" si="7"/>
        <v>12.417408999999999</v>
      </c>
      <c r="BA7" s="35">
        <f t="shared" si="7"/>
        <v>12.417408999999999</v>
      </c>
      <c r="BB7" s="35">
        <f t="shared" si="7"/>
        <v>12.417408999999999</v>
      </c>
      <c r="BC7" s="35">
        <f t="shared" si="7"/>
        <v>12.417408999999999</v>
      </c>
      <c r="BD7" s="35">
        <f t="shared" si="7"/>
        <v>12.417408999999999</v>
      </c>
      <c r="BE7" s="35">
        <f t="shared" si="7"/>
        <v>12.417408999999999</v>
      </c>
      <c r="BF7" s="35">
        <f t="shared" si="7"/>
        <v>12.417408999999999</v>
      </c>
      <c r="BG7" s="35">
        <f t="shared" si="7"/>
        <v>12.417408999999999</v>
      </c>
      <c r="BH7" s="35">
        <f t="shared" si="7"/>
        <v>12.417408999999999</v>
      </c>
      <c r="BI7" s="35">
        <f t="shared" si="7"/>
        <v>12.417408999999999</v>
      </c>
      <c r="BJ7" s="35">
        <f t="shared" si="7"/>
        <v>12.417408999999999</v>
      </c>
      <c r="BK7" s="35">
        <f t="shared" si="7"/>
        <v>12.417408999999999</v>
      </c>
      <c r="BL7" s="35">
        <f t="shared" si="7"/>
        <v>12.417408999999999</v>
      </c>
    </row>
    <row r="8" spans="1:71" s="32" customFormat="1" ht="15.6" customHeight="1" x14ac:dyDescent="0.25">
      <c r="A8" s="32" t="s">
        <v>205</v>
      </c>
      <c r="B8" s="32" t="s">
        <v>201</v>
      </c>
      <c r="C8" s="32" t="s">
        <v>22</v>
      </c>
      <c r="D8" s="34">
        <v>13.91302618308459</v>
      </c>
      <c r="E8" s="107">
        <v>13.6889623</v>
      </c>
      <c r="F8" s="107">
        <v>13.947146999999999</v>
      </c>
      <c r="G8" s="107">
        <v>14.2743951</v>
      </c>
      <c r="H8" s="107">
        <v>14.245780099999999</v>
      </c>
      <c r="I8" s="107">
        <v>14.209883400000001</v>
      </c>
      <c r="J8" s="107">
        <v>14.3089461</v>
      </c>
      <c r="K8" s="107">
        <v>14.6598784</v>
      </c>
      <c r="L8" s="107">
        <v>14.18895</v>
      </c>
      <c r="M8" s="107">
        <v>13.966839999999999</v>
      </c>
      <c r="N8" s="107">
        <v>14.149624299999999</v>
      </c>
      <c r="O8" s="107">
        <v>13.8529334</v>
      </c>
      <c r="P8" s="107">
        <v>13.711414599999999</v>
      </c>
      <c r="Q8" s="107">
        <v>13.465230699999999</v>
      </c>
      <c r="R8" s="107">
        <v>13.074793700000001</v>
      </c>
      <c r="S8" s="107">
        <v>12.635817299999999</v>
      </c>
      <c r="T8" s="107">
        <v>12.299421199999999</v>
      </c>
      <c r="U8" s="45">
        <f t="shared" si="2"/>
        <v>12.299421199999999</v>
      </c>
      <c r="V8" s="35">
        <f t="shared" si="0"/>
        <v>12.299421199999999</v>
      </c>
      <c r="W8" s="35">
        <f t="shared" si="0"/>
        <v>12.299421199999999</v>
      </c>
      <c r="X8" s="35">
        <f t="shared" si="0"/>
        <v>12.299421199999999</v>
      </c>
      <c r="Y8" s="35">
        <f t="shared" si="0"/>
        <v>12.299421199999999</v>
      </c>
      <c r="Z8" s="35">
        <f t="shared" si="0"/>
        <v>12.299421199999999</v>
      </c>
      <c r="AA8" s="35">
        <f t="shared" si="0"/>
        <v>12.299421199999999</v>
      </c>
      <c r="AB8" s="35">
        <f t="shared" si="0"/>
        <v>12.299421199999999</v>
      </c>
      <c r="AC8" s="35">
        <f t="shared" si="0"/>
        <v>12.299421199999999</v>
      </c>
      <c r="AD8" s="35">
        <f t="shared" si="0"/>
        <v>12.299421199999999</v>
      </c>
      <c r="AE8" s="35">
        <f t="shared" si="0"/>
        <v>12.299421199999999</v>
      </c>
      <c r="AF8" s="35">
        <f t="shared" si="0"/>
        <v>12.299421199999999</v>
      </c>
      <c r="AG8" s="35">
        <f t="shared" si="0"/>
        <v>12.299421199999999</v>
      </c>
      <c r="AH8" s="35">
        <f t="shared" si="0"/>
        <v>12.299421199999999</v>
      </c>
      <c r="AI8" s="35">
        <f t="shared" si="0"/>
        <v>12.299421199999999</v>
      </c>
      <c r="AJ8" s="35">
        <f t="shared" si="0"/>
        <v>12.299421199999999</v>
      </c>
      <c r="AK8" s="35">
        <f t="shared" si="0"/>
        <v>12.299421199999999</v>
      </c>
      <c r="AL8" s="35">
        <f t="shared" si="0"/>
        <v>12.299421199999999</v>
      </c>
      <c r="AM8" s="35">
        <f t="shared" si="0"/>
        <v>12.299421199999999</v>
      </c>
      <c r="AN8" s="35">
        <f t="shared" si="0"/>
        <v>12.299421199999999</v>
      </c>
      <c r="AO8" s="35">
        <f t="shared" si="0"/>
        <v>12.299421199999999</v>
      </c>
      <c r="AP8" s="35">
        <f t="shared" si="0"/>
        <v>12.299421199999999</v>
      </c>
      <c r="AQ8" s="35">
        <f t="shared" si="0"/>
        <v>12.299421199999999</v>
      </c>
      <c r="AR8" s="35">
        <f t="shared" si="0"/>
        <v>12.299421199999999</v>
      </c>
      <c r="AS8" s="35">
        <f t="shared" ref="AS8:BL8" si="8">AR8</f>
        <v>12.299421199999999</v>
      </c>
      <c r="AT8" s="35">
        <f t="shared" si="8"/>
        <v>12.299421199999999</v>
      </c>
      <c r="AU8" s="35">
        <f t="shared" si="8"/>
        <v>12.299421199999999</v>
      </c>
      <c r="AV8" s="35">
        <f t="shared" si="8"/>
        <v>12.299421199999999</v>
      </c>
      <c r="AW8" s="35">
        <f t="shared" si="8"/>
        <v>12.299421199999999</v>
      </c>
      <c r="AX8" s="35">
        <f t="shared" si="8"/>
        <v>12.299421199999999</v>
      </c>
      <c r="AY8" s="35">
        <f t="shared" si="8"/>
        <v>12.299421199999999</v>
      </c>
      <c r="AZ8" s="35">
        <f t="shared" si="8"/>
        <v>12.299421199999999</v>
      </c>
      <c r="BA8" s="35">
        <f t="shared" si="8"/>
        <v>12.299421199999999</v>
      </c>
      <c r="BB8" s="35">
        <f t="shared" si="8"/>
        <v>12.299421199999999</v>
      </c>
      <c r="BC8" s="35">
        <f t="shared" si="8"/>
        <v>12.299421199999999</v>
      </c>
      <c r="BD8" s="35">
        <f t="shared" si="8"/>
        <v>12.299421199999999</v>
      </c>
      <c r="BE8" s="35">
        <f t="shared" si="8"/>
        <v>12.299421199999999</v>
      </c>
      <c r="BF8" s="35">
        <f t="shared" si="8"/>
        <v>12.299421199999999</v>
      </c>
      <c r="BG8" s="35">
        <f t="shared" si="8"/>
        <v>12.299421199999999</v>
      </c>
      <c r="BH8" s="35">
        <f t="shared" si="8"/>
        <v>12.299421199999999</v>
      </c>
      <c r="BI8" s="35">
        <f t="shared" si="8"/>
        <v>12.299421199999999</v>
      </c>
      <c r="BJ8" s="35">
        <f t="shared" si="8"/>
        <v>12.299421199999999</v>
      </c>
      <c r="BK8" s="35">
        <f t="shared" si="8"/>
        <v>12.299421199999999</v>
      </c>
      <c r="BL8" s="35">
        <f t="shared" si="8"/>
        <v>12.299421199999999</v>
      </c>
    </row>
    <row r="9" spans="1:71" s="32" customFormat="1" ht="15.6" customHeight="1" x14ac:dyDescent="0.25">
      <c r="A9" s="32" t="s">
        <v>17</v>
      </c>
      <c r="B9" s="32" t="s">
        <v>201</v>
      </c>
      <c r="C9" s="32" t="s">
        <v>22</v>
      </c>
      <c r="D9" s="34">
        <v>11.075994885560341</v>
      </c>
      <c r="E9" s="107">
        <v>11.2983008</v>
      </c>
      <c r="F9" s="107">
        <v>11.1257105</v>
      </c>
      <c r="G9" s="107">
        <v>11.5365193</v>
      </c>
      <c r="H9" s="107">
        <v>11.516199</v>
      </c>
      <c r="I9" s="107">
        <v>11.6366227</v>
      </c>
      <c r="J9" s="107">
        <v>11.7558562</v>
      </c>
      <c r="K9" s="107">
        <v>12.0098035</v>
      </c>
      <c r="L9" s="107">
        <v>11.685689999999999</v>
      </c>
      <c r="M9" s="107">
        <v>11.78251</v>
      </c>
      <c r="N9" s="107">
        <v>12.1357704</v>
      </c>
      <c r="O9" s="107">
        <v>12.182475500000001</v>
      </c>
      <c r="P9" s="107">
        <v>12.126871400000001</v>
      </c>
      <c r="Q9" s="107">
        <v>12.0600275</v>
      </c>
      <c r="R9" s="107">
        <v>11.8534674</v>
      </c>
      <c r="S9" s="107">
        <v>11.6399665</v>
      </c>
      <c r="T9" s="107">
        <v>11.460918100000001</v>
      </c>
      <c r="U9" s="45">
        <f t="shared" si="2"/>
        <v>11.460918100000001</v>
      </c>
      <c r="V9" s="35">
        <f t="shared" si="0"/>
        <v>11.460918100000001</v>
      </c>
      <c r="W9" s="35">
        <f t="shared" si="0"/>
        <v>11.460918100000001</v>
      </c>
      <c r="X9" s="35">
        <f t="shared" si="0"/>
        <v>11.460918100000001</v>
      </c>
      <c r="Y9" s="35">
        <f t="shared" si="0"/>
        <v>11.460918100000001</v>
      </c>
      <c r="Z9" s="35">
        <f t="shared" si="0"/>
        <v>11.460918100000001</v>
      </c>
      <c r="AA9" s="35">
        <f t="shared" si="0"/>
        <v>11.460918100000001</v>
      </c>
      <c r="AB9" s="35">
        <f t="shared" si="0"/>
        <v>11.460918100000001</v>
      </c>
      <c r="AC9" s="35">
        <f t="shared" si="0"/>
        <v>11.460918100000001</v>
      </c>
      <c r="AD9" s="35">
        <f t="shared" si="0"/>
        <v>11.460918100000001</v>
      </c>
      <c r="AE9" s="35">
        <f t="shared" si="0"/>
        <v>11.460918100000001</v>
      </c>
      <c r="AF9" s="35">
        <f t="shared" si="0"/>
        <v>11.460918100000001</v>
      </c>
      <c r="AG9" s="35">
        <f t="shared" si="0"/>
        <v>11.460918100000001</v>
      </c>
      <c r="AH9" s="35">
        <f t="shared" si="0"/>
        <v>11.460918100000001</v>
      </c>
      <c r="AI9" s="35">
        <f t="shared" si="0"/>
        <v>11.460918100000001</v>
      </c>
      <c r="AJ9" s="35">
        <f t="shared" si="0"/>
        <v>11.460918100000001</v>
      </c>
      <c r="AK9" s="35">
        <f t="shared" si="0"/>
        <v>11.460918100000001</v>
      </c>
      <c r="AL9" s="35">
        <f t="shared" si="0"/>
        <v>11.460918100000001</v>
      </c>
      <c r="AM9" s="35">
        <f t="shared" si="0"/>
        <v>11.460918100000001</v>
      </c>
      <c r="AN9" s="35">
        <f t="shared" si="0"/>
        <v>11.460918100000001</v>
      </c>
      <c r="AO9" s="35">
        <f t="shared" si="0"/>
        <v>11.460918100000001</v>
      </c>
      <c r="AP9" s="35">
        <f t="shared" si="0"/>
        <v>11.460918100000001</v>
      </c>
      <c r="AQ9" s="35">
        <f t="shared" si="0"/>
        <v>11.460918100000001</v>
      </c>
      <c r="AR9" s="35">
        <f t="shared" si="0"/>
        <v>11.460918100000001</v>
      </c>
      <c r="AS9" s="35">
        <f t="shared" ref="AS9:BL9" si="9">AR9</f>
        <v>11.460918100000001</v>
      </c>
      <c r="AT9" s="35">
        <f t="shared" si="9"/>
        <v>11.460918100000001</v>
      </c>
      <c r="AU9" s="35">
        <f t="shared" si="9"/>
        <v>11.460918100000001</v>
      </c>
      <c r="AV9" s="35">
        <f t="shared" si="9"/>
        <v>11.460918100000001</v>
      </c>
      <c r="AW9" s="35">
        <f t="shared" si="9"/>
        <v>11.460918100000001</v>
      </c>
      <c r="AX9" s="35">
        <f t="shared" si="9"/>
        <v>11.460918100000001</v>
      </c>
      <c r="AY9" s="35">
        <f t="shared" si="9"/>
        <v>11.460918100000001</v>
      </c>
      <c r="AZ9" s="35">
        <f t="shared" si="9"/>
        <v>11.460918100000001</v>
      </c>
      <c r="BA9" s="35">
        <f t="shared" si="9"/>
        <v>11.460918100000001</v>
      </c>
      <c r="BB9" s="35">
        <f t="shared" si="9"/>
        <v>11.460918100000001</v>
      </c>
      <c r="BC9" s="35">
        <f t="shared" si="9"/>
        <v>11.460918100000001</v>
      </c>
      <c r="BD9" s="35">
        <f t="shared" si="9"/>
        <v>11.460918100000001</v>
      </c>
      <c r="BE9" s="35">
        <f t="shared" si="9"/>
        <v>11.460918100000001</v>
      </c>
      <c r="BF9" s="35">
        <f t="shared" si="9"/>
        <v>11.460918100000001</v>
      </c>
      <c r="BG9" s="35">
        <f t="shared" si="9"/>
        <v>11.460918100000001</v>
      </c>
      <c r="BH9" s="35">
        <f t="shared" si="9"/>
        <v>11.460918100000001</v>
      </c>
      <c r="BI9" s="35">
        <f t="shared" si="9"/>
        <v>11.460918100000001</v>
      </c>
      <c r="BJ9" s="35">
        <f t="shared" si="9"/>
        <v>11.460918100000001</v>
      </c>
      <c r="BK9" s="35">
        <f t="shared" si="9"/>
        <v>11.460918100000001</v>
      </c>
      <c r="BL9" s="35">
        <f t="shared" si="9"/>
        <v>11.460918100000001</v>
      </c>
    </row>
    <row r="10" spans="1:71" x14ac:dyDescent="0.25">
      <c r="BM10" s="32"/>
    </row>
    <row r="11" spans="1:71" x14ac:dyDescent="0.25">
      <c r="A11" s="28" t="s">
        <v>206</v>
      </c>
      <c r="D11" s="66">
        <v>2.5000000000000001E-2</v>
      </c>
      <c r="BM11" s="32"/>
    </row>
    <row r="12" spans="1:71" s="32" customFormat="1" ht="16.2" x14ac:dyDescent="0.25">
      <c r="A12" s="31"/>
      <c r="B12" s="31" t="s">
        <v>196</v>
      </c>
      <c r="C12" s="31" t="s">
        <v>197</v>
      </c>
      <c r="D12" s="31">
        <v>2020</v>
      </c>
      <c r="E12" s="31">
        <v>2021</v>
      </c>
      <c r="F12" s="31">
        <v>2022</v>
      </c>
      <c r="G12" s="31">
        <v>2023</v>
      </c>
      <c r="H12" s="31">
        <v>2024</v>
      </c>
      <c r="I12" s="31">
        <v>2025</v>
      </c>
      <c r="J12" s="31">
        <v>2026</v>
      </c>
      <c r="K12" s="31">
        <v>2027</v>
      </c>
      <c r="L12" s="31">
        <v>2028</v>
      </c>
      <c r="M12" s="31">
        <v>2029</v>
      </c>
      <c r="N12" s="31">
        <v>2030</v>
      </c>
      <c r="O12" s="31">
        <v>2031</v>
      </c>
      <c r="P12" s="31">
        <v>2032</v>
      </c>
      <c r="Q12" s="31">
        <v>2033</v>
      </c>
      <c r="R12" s="31">
        <v>2034</v>
      </c>
      <c r="S12" s="31">
        <v>2035</v>
      </c>
      <c r="T12" s="31">
        <v>2036</v>
      </c>
      <c r="U12" s="31">
        <v>2037</v>
      </c>
      <c r="V12" s="31">
        <v>2038</v>
      </c>
      <c r="W12" s="31">
        <v>2039</v>
      </c>
      <c r="X12" s="31">
        <v>2040</v>
      </c>
      <c r="Y12" s="31">
        <v>2041</v>
      </c>
      <c r="Z12" s="31">
        <v>2042</v>
      </c>
      <c r="AA12" s="31">
        <v>2043</v>
      </c>
      <c r="AB12" s="31">
        <v>2044</v>
      </c>
      <c r="AC12" s="31">
        <v>2045</v>
      </c>
      <c r="AD12" s="31">
        <v>2046</v>
      </c>
      <c r="AE12" s="31">
        <v>2047</v>
      </c>
      <c r="AF12" s="31">
        <v>2048</v>
      </c>
      <c r="AG12" s="31">
        <v>2049</v>
      </c>
      <c r="AH12" s="31">
        <v>2050</v>
      </c>
      <c r="AI12" s="31">
        <v>2051</v>
      </c>
      <c r="AJ12" s="31">
        <v>2052</v>
      </c>
      <c r="AK12" s="31">
        <v>2053</v>
      </c>
      <c r="AL12" s="31">
        <v>2054</v>
      </c>
      <c r="AM12" s="31">
        <v>2055</v>
      </c>
      <c r="AN12" s="31">
        <v>2056</v>
      </c>
      <c r="AO12" s="31">
        <v>2057</v>
      </c>
      <c r="AP12" s="31">
        <v>2058</v>
      </c>
      <c r="AQ12" s="31">
        <v>2059</v>
      </c>
      <c r="AR12" s="31">
        <v>2060</v>
      </c>
      <c r="AS12" s="31">
        <v>2061</v>
      </c>
      <c r="AT12" s="31">
        <v>2062</v>
      </c>
      <c r="AU12" s="31">
        <v>2063</v>
      </c>
      <c r="AV12" s="31">
        <v>2064</v>
      </c>
      <c r="AW12" s="31">
        <v>2065</v>
      </c>
      <c r="AX12" s="31">
        <v>2066</v>
      </c>
      <c r="AY12" s="31">
        <v>2067</v>
      </c>
      <c r="AZ12" s="31">
        <v>2068</v>
      </c>
      <c r="BA12" s="31">
        <v>2069</v>
      </c>
      <c r="BB12" s="31">
        <v>2070</v>
      </c>
      <c r="BC12" s="31">
        <v>2071</v>
      </c>
      <c r="BD12" s="31">
        <v>2072</v>
      </c>
      <c r="BE12" s="31">
        <v>2073</v>
      </c>
      <c r="BF12" s="31">
        <v>2074</v>
      </c>
      <c r="BG12" s="31">
        <v>2075</v>
      </c>
      <c r="BH12" s="31">
        <v>2076</v>
      </c>
      <c r="BI12" s="31">
        <v>2077</v>
      </c>
      <c r="BJ12" s="31">
        <v>2078</v>
      </c>
      <c r="BK12" s="31">
        <v>2079</v>
      </c>
      <c r="BL12" s="31">
        <v>2080</v>
      </c>
      <c r="BM12" s="1"/>
      <c r="BN12" s="1"/>
      <c r="BO12" s="1"/>
      <c r="BP12" s="1"/>
      <c r="BQ12" s="1"/>
      <c r="BR12" s="1"/>
      <c r="BS12" s="1"/>
    </row>
    <row r="13" spans="1:71" x14ac:dyDescent="0.25">
      <c r="A13" s="32" t="s">
        <v>198</v>
      </c>
      <c r="B13" s="32" t="s">
        <v>199</v>
      </c>
      <c r="C13" s="32" t="s">
        <v>22</v>
      </c>
      <c r="D13" s="67">
        <f t="shared" ref="D13:D19" si="10">D3*((1+$D$11)^1)</f>
        <v>14.279884556353993</v>
      </c>
      <c r="E13" s="67">
        <f t="shared" ref="E13:BL17" si="11">E3*((1+$D$11)^1)</f>
        <v>14.055539845</v>
      </c>
      <c r="F13" s="67">
        <f t="shared" si="11"/>
        <v>14.344244009999999</v>
      </c>
      <c r="G13" s="67">
        <f t="shared" si="11"/>
        <v>14.642446029999999</v>
      </c>
      <c r="H13" s="67">
        <f t="shared" si="11"/>
        <v>14.63885033</v>
      </c>
      <c r="I13" s="67">
        <f t="shared" si="11"/>
        <v>14.613597199999999</v>
      </c>
      <c r="J13" s="67">
        <f t="shared" si="11"/>
        <v>14.699383754999999</v>
      </c>
      <c r="K13" s="67">
        <f t="shared" si="11"/>
        <v>15.101358722499999</v>
      </c>
      <c r="L13" s="67">
        <f t="shared" si="11"/>
        <v>14.58348475</v>
      </c>
      <c r="M13" s="67">
        <f t="shared" si="11"/>
        <v>14.37688575</v>
      </c>
      <c r="N13" s="67">
        <f t="shared" si="11"/>
        <v>14.478302837499999</v>
      </c>
      <c r="O13" s="67">
        <f t="shared" si="11"/>
        <v>14.351645534999999</v>
      </c>
      <c r="P13" s="67">
        <f t="shared" si="11"/>
        <v>14.360184912499999</v>
      </c>
      <c r="Q13" s="67">
        <f t="shared" si="11"/>
        <v>14.0039898275</v>
      </c>
      <c r="R13" s="67">
        <f t="shared" si="11"/>
        <v>13.613145847499998</v>
      </c>
      <c r="S13" s="67">
        <f t="shared" si="11"/>
        <v>13.208179929999998</v>
      </c>
      <c r="T13" s="67">
        <f t="shared" si="11"/>
        <v>12.742921975</v>
      </c>
      <c r="U13" s="67">
        <f t="shared" si="11"/>
        <v>12.742921975</v>
      </c>
      <c r="V13" s="67">
        <f t="shared" si="11"/>
        <v>12.742921975</v>
      </c>
      <c r="W13" s="67">
        <f t="shared" si="11"/>
        <v>12.742921975</v>
      </c>
      <c r="X13" s="67">
        <f t="shared" si="11"/>
        <v>12.742921975</v>
      </c>
      <c r="Y13" s="67">
        <f t="shared" si="11"/>
        <v>12.742921975</v>
      </c>
      <c r="Z13" s="67">
        <f t="shared" si="11"/>
        <v>12.742921975</v>
      </c>
      <c r="AA13" s="67">
        <f t="shared" si="11"/>
        <v>12.742921975</v>
      </c>
      <c r="AB13" s="67">
        <f t="shared" si="11"/>
        <v>12.742921975</v>
      </c>
      <c r="AC13" s="67">
        <f t="shared" si="11"/>
        <v>12.742921975</v>
      </c>
      <c r="AD13" s="67">
        <f t="shared" si="11"/>
        <v>12.742921975</v>
      </c>
      <c r="AE13" s="67">
        <f t="shared" si="11"/>
        <v>12.742921975</v>
      </c>
      <c r="AF13" s="67">
        <f t="shared" si="11"/>
        <v>12.742921975</v>
      </c>
      <c r="AG13" s="67">
        <f t="shared" si="11"/>
        <v>12.742921975</v>
      </c>
      <c r="AH13" s="67">
        <f t="shared" si="11"/>
        <v>12.742921975</v>
      </c>
      <c r="AI13" s="67">
        <f t="shared" si="11"/>
        <v>12.742921975</v>
      </c>
      <c r="AJ13" s="67">
        <f t="shared" si="11"/>
        <v>12.742921975</v>
      </c>
      <c r="AK13" s="67">
        <f t="shared" si="11"/>
        <v>12.742921975</v>
      </c>
      <c r="AL13" s="67">
        <f t="shared" si="11"/>
        <v>12.742921975</v>
      </c>
      <c r="AM13" s="67">
        <f t="shared" si="11"/>
        <v>12.742921975</v>
      </c>
      <c r="AN13" s="67">
        <f t="shared" si="11"/>
        <v>12.742921975</v>
      </c>
      <c r="AO13" s="67">
        <f t="shared" si="11"/>
        <v>12.742921975</v>
      </c>
      <c r="AP13" s="67">
        <f t="shared" si="11"/>
        <v>12.742921975</v>
      </c>
      <c r="AQ13" s="67">
        <f t="shared" si="11"/>
        <v>12.742921975</v>
      </c>
      <c r="AR13" s="67">
        <f t="shared" si="11"/>
        <v>12.742921975</v>
      </c>
      <c r="AS13" s="67">
        <f t="shared" si="11"/>
        <v>12.742921975</v>
      </c>
      <c r="AT13" s="67">
        <f t="shared" si="11"/>
        <v>12.742921975</v>
      </c>
      <c r="AU13" s="67">
        <f t="shared" si="11"/>
        <v>12.742921975</v>
      </c>
      <c r="AV13" s="67">
        <f t="shared" si="11"/>
        <v>12.742921975</v>
      </c>
      <c r="AW13" s="67">
        <f t="shared" si="11"/>
        <v>12.742921975</v>
      </c>
      <c r="AX13" s="67">
        <f t="shared" si="11"/>
        <v>12.742921975</v>
      </c>
      <c r="AY13" s="67">
        <f t="shared" si="11"/>
        <v>12.742921975</v>
      </c>
      <c r="AZ13" s="67">
        <f t="shared" si="11"/>
        <v>12.742921975</v>
      </c>
      <c r="BA13" s="67">
        <f t="shared" si="11"/>
        <v>12.742921975</v>
      </c>
      <c r="BB13" s="67">
        <f t="shared" si="11"/>
        <v>12.742921975</v>
      </c>
      <c r="BC13" s="67">
        <f t="shared" si="11"/>
        <v>12.742921975</v>
      </c>
      <c r="BD13" s="67">
        <f t="shared" si="11"/>
        <v>12.742921975</v>
      </c>
      <c r="BE13" s="67">
        <f t="shared" si="11"/>
        <v>12.742921975</v>
      </c>
      <c r="BF13" s="67">
        <f t="shared" si="11"/>
        <v>12.742921975</v>
      </c>
      <c r="BG13" s="67">
        <f t="shared" si="11"/>
        <v>12.742921975</v>
      </c>
      <c r="BH13" s="67">
        <f t="shared" si="11"/>
        <v>12.742921975</v>
      </c>
      <c r="BI13" s="67">
        <f t="shared" si="11"/>
        <v>12.742921975</v>
      </c>
      <c r="BJ13" s="67">
        <f t="shared" si="11"/>
        <v>12.742921975</v>
      </c>
      <c r="BK13" s="67">
        <f t="shared" si="11"/>
        <v>12.742921975</v>
      </c>
      <c r="BL13" s="67">
        <f t="shared" si="11"/>
        <v>12.742921975</v>
      </c>
      <c r="BM13" s="32"/>
    </row>
    <row r="14" spans="1:71" ht="15.6" x14ac:dyDescent="0.25">
      <c r="A14" s="32" t="s">
        <v>200</v>
      </c>
      <c r="B14" s="32" t="s">
        <v>201</v>
      </c>
      <c r="C14" s="32" t="s">
        <v>22</v>
      </c>
      <c r="D14" s="67">
        <f t="shared" si="10"/>
        <v>13.323303635895895</v>
      </c>
      <c r="E14" s="67">
        <f t="shared" ref="E14:S14" si="12">E4*((1+$D$11)^1)</f>
        <v>13.32957027</v>
      </c>
      <c r="F14" s="67">
        <f t="shared" si="12"/>
        <v>13.399902285</v>
      </c>
      <c r="G14" s="67">
        <f t="shared" si="12"/>
        <v>13.555779775</v>
      </c>
      <c r="H14" s="67">
        <f t="shared" si="12"/>
        <v>13.61089874</v>
      </c>
      <c r="I14" s="67">
        <f t="shared" si="12"/>
        <v>13.695756234999998</v>
      </c>
      <c r="J14" s="67">
        <f t="shared" si="12"/>
        <v>13.8105821675</v>
      </c>
      <c r="K14" s="67">
        <f t="shared" si="12"/>
        <v>14.321598069999999</v>
      </c>
      <c r="L14" s="67">
        <f t="shared" si="12"/>
        <v>13.943464499999997</v>
      </c>
      <c r="M14" s="67">
        <f t="shared" si="12"/>
        <v>13.6642955</v>
      </c>
      <c r="N14" s="67">
        <f t="shared" si="12"/>
        <v>13.769505189999999</v>
      </c>
      <c r="O14" s="67">
        <f t="shared" si="12"/>
        <v>13.768720654999999</v>
      </c>
      <c r="P14" s="67">
        <f t="shared" si="12"/>
        <v>13.848544169999998</v>
      </c>
      <c r="Q14" s="67">
        <f t="shared" si="12"/>
        <v>13.55447987</v>
      </c>
      <c r="R14" s="67">
        <f t="shared" si="12"/>
        <v>13.089763832499997</v>
      </c>
      <c r="S14" s="67">
        <f t="shared" si="12"/>
        <v>12.646956862499998</v>
      </c>
      <c r="T14" s="67">
        <f t="shared" si="11"/>
        <v>12.252711932499999</v>
      </c>
      <c r="U14" s="67">
        <f t="shared" si="11"/>
        <v>12.252711932499999</v>
      </c>
      <c r="V14" s="67">
        <f t="shared" si="11"/>
        <v>12.252711932499999</v>
      </c>
      <c r="W14" s="67">
        <f t="shared" si="11"/>
        <v>12.252711932499999</v>
      </c>
      <c r="X14" s="67">
        <f t="shared" si="11"/>
        <v>12.252711932499999</v>
      </c>
      <c r="Y14" s="67">
        <f t="shared" si="11"/>
        <v>12.252711932499999</v>
      </c>
      <c r="Z14" s="67">
        <f t="shared" si="11"/>
        <v>12.252711932499999</v>
      </c>
      <c r="AA14" s="67">
        <f t="shared" si="11"/>
        <v>12.252711932499999</v>
      </c>
      <c r="AB14" s="67">
        <f t="shared" si="11"/>
        <v>12.252711932499999</v>
      </c>
      <c r="AC14" s="67">
        <f t="shared" si="11"/>
        <v>12.252711932499999</v>
      </c>
      <c r="AD14" s="67">
        <f t="shared" si="11"/>
        <v>12.252711932499999</v>
      </c>
      <c r="AE14" s="67">
        <f t="shared" si="11"/>
        <v>12.252711932499999</v>
      </c>
      <c r="AF14" s="67">
        <f t="shared" si="11"/>
        <v>12.252711932499999</v>
      </c>
      <c r="AG14" s="67">
        <f t="shared" si="11"/>
        <v>12.252711932499999</v>
      </c>
      <c r="AH14" s="67">
        <f t="shared" si="11"/>
        <v>12.252711932499999</v>
      </c>
      <c r="AI14" s="67">
        <f t="shared" si="11"/>
        <v>12.252711932499999</v>
      </c>
      <c r="AJ14" s="67">
        <f t="shared" si="11"/>
        <v>12.252711932499999</v>
      </c>
      <c r="AK14" s="67">
        <f t="shared" si="11"/>
        <v>12.252711932499999</v>
      </c>
      <c r="AL14" s="67">
        <f t="shared" si="11"/>
        <v>12.252711932499999</v>
      </c>
      <c r="AM14" s="67">
        <f t="shared" si="11"/>
        <v>12.252711932499999</v>
      </c>
      <c r="AN14" s="67">
        <f t="shared" si="11"/>
        <v>12.252711932499999</v>
      </c>
      <c r="AO14" s="67">
        <f t="shared" si="11"/>
        <v>12.252711932499999</v>
      </c>
      <c r="AP14" s="67">
        <f t="shared" si="11"/>
        <v>12.252711932499999</v>
      </c>
      <c r="AQ14" s="67">
        <f t="shared" si="11"/>
        <v>12.252711932499999</v>
      </c>
      <c r="AR14" s="67">
        <f t="shared" si="11"/>
        <v>12.252711932499999</v>
      </c>
      <c r="AS14" s="67">
        <f t="shared" si="11"/>
        <v>12.252711932499999</v>
      </c>
      <c r="AT14" s="67">
        <f t="shared" si="11"/>
        <v>12.252711932499999</v>
      </c>
      <c r="AU14" s="67">
        <f t="shared" si="11"/>
        <v>12.252711932499999</v>
      </c>
      <c r="AV14" s="67">
        <f t="shared" si="11"/>
        <v>12.252711932499999</v>
      </c>
      <c r="AW14" s="67">
        <f t="shared" si="11"/>
        <v>12.252711932499999</v>
      </c>
      <c r="AX14" s="67">
        <f t="shared" si="11"/>
        <v>12.252711932499999</v>
      </c>
      <c r="AY14" s="67">
        <f t="shared" si="11"/>
        <v>12.252711932499999</v>
      </c>
      <c r="AZ14" s="67">
        <f t="shared" si="11"/>
        <v>12.252711932499999</v>
      </c>
      <c r="BA14" s="67">
        <f t="shared" si="11"/>
        <v>12.252711932499999</v>
      </c>
      <c r="BB14" s="67">
        <f t="shared" si="11"/>
        <v>12.252711932499999</v>
      </c>
      <c r="BC14" s="67">
        <f t="shared" si="11"/>
        <v>12.252711932499999</v>
      </c>
      <c r="BD14" s="67">
        <f t="shared" si="11"/>
        <v>12.252711932499999</v>
      </c>
      <c r="BE14" s="67">
        <f t="shared" si="11"/>
        <v>12.252711932499999</v>
      </c>
      <c r="BF14" s="67">
        <f t="shared" si="11"/>
        <v>12.252711932499999</v>
      </c>
      <c r="BG14" s="67">
        <f t="shared" si="11"/>
        <v>12.252711932499999</v>
      </c>
      <c r="BH14" s="67">
        <f t="shared" si="11"/>
        <v>12.252711932499999</v>
      </c>
      <c r="BI14" s="67">
        <f t="shared" si="11"/>
        <v>12.252711932499999</v>
      </c>
      <c r="BJ14" s="67">
        <f t="shared" si="11"/>
        <v>12.252711932499999</v>
      </c>
      <c r="BK14" s="67">
        <f t="shared" si="11"/>
        <v>12.252711932499999</v>
      </c>
      <c r="BL14" s="67">
        <f t="shared" si="11"/>
        <v>12.252711932499999</v>
      </c>
      <c r="BM14" s="32"/>
    </row>
    <row r="15" spans="1:71" ht="15.6" x14ac:dyDescent="0.25">
      <c r="A15" s="32" t="s">
        <v>202</v>
      </c>
      <c r="B15" s="32" t="s">
        <v>201</v>
      </c>
      <c r="C15" s="32" t="s">
        <v>22</v>
      </c>
      <c r="D15" s="67">
        <f t="shared" si="10"/>
        <v>15.808318700089229</v>
      </c>
      <c r="E15" s="67">
        <f t="shared" si="11"/>
        <v>15.149821644999999</v>
      </c>
      <c r="F15" s="67">
        <f t="shared" si="11"/>
        <v>15.790427375</v>
      </c>
      <c r="G15" s="67">
        <f t="shared" si="11"/>
        <v>16.241741127499999</v>
      </c>
      <c r="H15" s="67">
        <f t="shared" si="11"/>
        <v>16.0158930375</v>
      </c>
      <c r="I15" s="67">
        <f t="shared" si="11"/>
        <v>15.8731170975</v>
      </c>
      <c r="J15" s="67">
        <f t="shared" si="11"/>
        <v>15.774204802499998</v>
      </c>
      <c r="K15" s="67">
        <f t="shared" si="11"/>
        <v>15.9270478825</v>
      </c>
      <c r="L15" s="67">
        <f t="shared" si="11"/>
        <v>15.428504999999998</v>
      </c>
      <c r="M15" s="67">
        <f t="shared" si="11"/>
        <v>15.051663749999998</v>
      </c>
      <c r="N15" s="67">
        <f t="shared" si="11"/>
        <v>15.06806662</v>
      </c>
      <c r="O15" s="67">
        <f t="shared" si="11"/>
        <v>14.955940537499998</v>
      </c>
      <c r="P15" s="67">
        <f t="shared" si="11"/>
        <v>14.95332771</v>
      </c>
      <c r="Q15" s="67">
        <f t="shared" si="11"/>
        <v>14.586911427499999</v>
      </c>
      <c r="R15" s="67">
        <f t="shared" si="11"/>
        <v>14.0960118675</v>
      </c>
      <c r="S15" s="67">
        <f t="shared" si="11"/>
        <v>13.69888679</v>
      </c>
      <c r="T15" s="67">
        <f t="shared" si="11"/>
        <v>13.292011399999998</v>
      </c>
      <c r="U15" s="67">
        <f t="shared" si="11"/>
        <v>13.292011399999998</v>
      </c>
      <c r="V15" s="67">
        <f t="shared" si="11"/>
        <v>13.292011399999998</v>
      </c>
      <c r="W15" s="67">
        <f t="shared" si="11"/>
        <v>13.292011399999998</v>
      </c>
      <c r="X15" s="67">
        <f t="shared" si="11"/>
        <v>13.292011399999998</v>
      </c>
      <c r="Y15" s="67">
        <f t="shared" si="11"/>
        <v>13.292011399999998</v>
      </c>
      <c r="Z15" s="67">
        <f t="shared" si="11"/>
        <v>13.292011399999998</v>
      </c>
      <c r="AA15" s="67">
        <f t="shared" si="11"/>
        <v>13.292011399999998</v>
      </c>
      <c r="AB15" s="67">
        <f t="shared" si="11"/>
        <v>13.292011399999998</v>
      </c>
      <c r="AC15" s="67">
        <f t="shared" si="11"/>
        <v>13.292011399999998</v>
      </c>
      <c r="AD15" s="67">
        <f t="shared" si="11"/>
        <v>13.292011399999998</v>
      </c>
      <c r="AE15" s="67">
        <f t="shared" si="11"/>
        <v>13.292011399999998</v>
      </c>
      <c r="AF15" s="67">
        <f t="shared" si="11"/>
        <v>13.292011399999998</v>
      </c>
      <c r="AG15" s="67">
        <f t="shared" si="11"/>
        <v>13.292011399999998</v>
      </c>
      <c r="AH15" s="67">
        <f t="shared" si="11"/>
        <v>13.292011399999998</v>
      </c>
      <c r="AI15" s="67">
        <f t="shared" si="11"/>
        <v>13.292011399999998</v>
      </c>
      <c r="AJ15" s="67">
        <f t="shared" si="11"/>
        <v>13.292011399999998</v>
      </c>
      <c r="AK15" s="67">
        <f t="shared" si="11"/>
        <v>13.292011399999998</v>
      </c>
      <c r="AL15" s="67">
        <f t="shared" si="11"/>
        <v>13.292011399999998</v>
      </c>
      <c r="AM15" s="67">
        <f t="shared" si="11"/>
        <v>13.292011399999998</v>
      </c>
      <c r="AN15" s="67">
        <f t="shared" si="11"/>
        <v>13.292011399999998</v>
      </c>
      <c r="AO15" s="67">
        <f t="shared" si="11"/>
        <v>13.292011399999998</v>
      </c>
      <c r="AP15" s="67">
        <f t="shared" si="11"/>
        <v>13.292011399999998</v>
      </c>
      <c r="AQ15" s="67">
        <f t="shared" si="11"/>
        <v>13.292011399999998</v>
      </c>
      <c r="AR15" s="67">
        <f t="shared" si="11"/>
        <v>13.292011399999998</v>
      </c>
      <c r="AS15" s="67">
        <f t="shared" si="11"/>
        <v>13.292011399999998</v>
      </c>
      <c r="AT15" s="67">
        <f t="shared" si="11"/>
        <v>13.292011399999998</v>
      </c>
      <c r="AU15" s="67">
        <f t="shared" si="11"/>
        <v>13.292011399999998</v>
      </c>
      <c r="AV15" s="67">
        <f t="shared" si="11"/>
        <v>13.292011399999998</v>
      </c>
      <c r="AW15" s="67">
        <f t="shared" si="11"/>
        <v>13.292011399999998</v>
      </c>
      <c r="AX15" s="67">
        <f t="shared" si="11"/>
        <v>13.292011399999998</v>
      </c>
      <c r="AY15" s="67">
        <f t="shared" si="11"/>
        <v>13.292011399999998</v>
      </c>
      <c r="AZ15" s="67">
        <f t="shared" si="11"/>
        <v>13.292011399999998</v>
      </c>
      <c r="BA15" s="67">
        <f t="shared" si="11"/>
        <v>13.292011399999998</v>
      </c>
      <c r="BB15" s="67">
        <f t="shared" si="11"/>
        <v>13.292011399999998</v>
      </c>
      <c r="BC15" s="67">
        <f t="shared" si="11"/>
        <v>13.292011399999998</v>
      </c>
      <c r="BD15" s="67">
        <f t="shared" si="11"/>
        <v>13.292011399999998</v>
      </c>
      <c r="BE15" s="67">
        <f t="shared" si="11"/>
        <v>13.292011399999998</v>
      </c>
      <c r="BF15" s="67">
        <f t="shared" si="11"/>
        <v>13.292011399999998</v>
      </c>
      <c r="BG15" s="67">
        <f t="shared" si="11"/>
        <v>13.292011399999998</v>
      </c>
      <c r="BH15" s="67">
        <f t="shared" si="11"/>
        <v>13.292011399999998</v>
      </c>
      <c r="BI15" s="67">
        <f t="shared" si="11"/>
        <v>13.292011399999998</v>
      </c>
      <c r="BJ15" s="67">
        <f t="shared" si="11"/>
        <v>13.292011399999998</v>
      </c>
      <c r="BK15" s="67">
        <f t="shared" si="11"/>
        <v>13.292011399999998</v>
      </c>
      <c r="BL15" s="67">
        <f t="shared" si="11"/>
        <v>13.292011399999998</v>
      </c>
      <c r="BM15" s="32"/>
    </row>
    <row r="16" spans="1:71" ht="15.6" x14ac:dyDescent="0.25">
      <c r="A16" s="32" t="s">
        <v>203</v>
      </c>
      <c r="B16" s="32" t="s">
        <v>201</v>
      </c>
      <c r="C16" s="32" t="s">
        <v>22</v>
      </c>
      <c r="D16" s="67">
        <f t="shared" si="10"/>
        <v>14.295252616082008</v>
      </c>
      <c r="E16" s="67">
        <f t="shared" si="11"/>
        <v>14.077057362499998</v>
      </c>
      <c r="F16" s="67">
        <f t="shared" si="11"/>
        <v>14.360086102499999</v>
      </c>
      <c r="G16" s="67">
        <f t="shared" si="11"/>
        <v>14.674499009999998</v>
      </c>
      <c r="H16" s="67">
        <f t="shared" si="11"/>
        <v>14.6695340125</v>
      </c>
      <c r="I16" s="67">
        <f t="shared" si="11"/>
        <v>14.643927462499999</v>
      </c>
      <c r="J16" s="67">
        <f t="shared" si="11"/>
        <v>14.7439543425</v>
      </c>
      <c r="K16" s="67">
        <f t="shared" si="11"/>
        <v>15.131677914999999</v>
      </c>
      <c r="L16" s="67">
        <f t="shared" si="11"/>
        <v>14.598559117499999</v>
      </c>
      <c r="M16" s="67">
        <f t="shared" si="11"/>
        <v>14.330494045</v>
      </c>
      <c r="N16" s="67">
        <f t="shared" si="11"/>
        <v>14.462862749999999</v>
      </c>
      <c r="O16" s="67">
        <f t="shared" si="11"/>
        <v>14.381252249999999</v>
      </c>
      <c r="P16" s="67">
        <f t="shared" si="11"/>
        <v>14.400544799999999</v>
      </c>
      <c r="Q16" s="67">
        <f t="shared" si="11"/>
        <v>14.024580437499997</v>
      </c>
      <c r="R16" s="67">
        <f t="shared" si="11"/>
        <v>13.603018335</v>
      </c>
      <c r="S16" s="67">
        <f t="shared" si="11"/>
        <v>13.156490204999999</v>
      </c>
      <c r="T16" s="67">
        <f t="shared" si="11"/>
        <v>12.804148504999999</v>
      </c>
      <c r="U16" s="67">
        <f t="shared" si="11"/>
        <v>12.804148504999999</v>
      </c>
      <c r="V16" s="67">
        <f t="shared" si="11"/>
        <v>12.804148504999999</v>
      </c>
      <c r="W16" s="67">
        <f t="shared" si="11"/>
        <v>12.804148504999999</v>
      </c>
      <c r="X16" s="67">
        <f t="shared" si="11"/>
        <v>12.804148504999999</v>
      </c>
      <c r="Y16" s="67">
        <f t="shared" si="11"/>
        <v>12.804148504999999</v>
      </c>
      <c r="Z16" s="67">
        <f t="shared" si="11"/>
        <v>12.804148504999999</v>
      </c>
      <c r="AA16" s="67">
        <f t="shared" si="11"/>
        <v>12.804148504999999</v>
      </c>
      <c r="AB16" s="67">
        <f t="shared" si="11"/>
        <v>12.804148504999999</v>
      </c>
      <c r="AC16" s="67">
        <f t="shared" si="11"/>
        <v>12.804148504999999</v>
      </c>
      <c r="AD16" s="67">
        <f t="shared" si="11"/>
        <v>12.804148504999999</v>
      </c>
      <c r="AE16" s="67">
        <f t="shared" si="11"/>
        <v>12.804148504999999</v>
      </c>
      <c r="AF16" s="67">
        <f t="shared" si="11"/>
        <v>12.804148504999999</v>
      </c>
      <c r="AG16" s="67">
        <f t="shared" si="11"/>
        <v>12.804148504999999</v>
      </c>
      <c r="AH16" s="67">
        <f t="shared" si="11"/>
        <v>12.804148504999999</v>
      </c>
      <c r="AI16" s="67">
        <f t="shared" si="11"/>
        <v>12.804148504999999</v>
      </c>
      <c r="AJ16" s="67">
        <f t="shared" si="11"/>
        <v>12.804148504999999</v>
      </c>
      <c r="AK16" s="67">
        <f t="shared" si="11"/>
        <v>12.804148504999999</v>
      </c>
      <c r="AL16" s="67">
        <f t="shared" si="11"/>
        <v>12.804148504999999</v>
      </c>
      <c r="AM16" s="67">
        <f t="shared" si="11"/>
        <v>12.804148504999999</v>
      </c>
      <c r="AN16" s="67">
        <f t="shared" si="11"/>
        <v>12.804148504999999</v>
      </c>
      <c r="AO16" s="67">
        <f t="shared" si="11"/>
        <v>12.804148504999999</v>
      </c>
      <c r="AP16" s="67">
        <f t="shared" si="11"/>
        <v>12.804148504999999</v>
      </c>
      <c r="AQ16" s="67">
        <f t="shared" si="11"/>
        <v>12.804148504999999</v>
      </c>
      <c r="AR16" s="67">
        <f t="shared" si="11"/>
        <v>12.804148504999999</v>
      </c>
      <c r="AS16" s="67">
        <f t="shared" si="11"/>
        <v>12.804148504999999</v>
      </c>
      <c r="AT16" s="67">
        <f t="shared" si="11"/>
        <v>12.804148504999999</v>
      </c>
      <c r="AU16" s="67">
        <f t="shared" si="11"/>
        <v>12.804148504999999</v>
      </c>
      <c r="AV16" s="67">
        <f t="shared" si="11"/>
        <v>12.804148504999999</v>
      </c>
      <c r="AW16" s="67">
        <f t="shared" si="11"/>
        <v>12.804148504999999</v>
      </c>
      <c r="AX16" s="67">
        <f t="shared" si="11"/>
        <v>12.804148504999999</v>
      </c>
      <c r="AY16" s="67">
        <f t="shared" si="11"/>
        <v>12.804148504999999</v>
      </c>
      <c r="AZ16" s="67">
        <f t="shared" si="11"/>
        <v>12.804148504999999</v>
      </c>
      <c r="BA16" s="67">
        <f t="shared" si="11"/>
        <v>12.804148504999999</v>
      </c>
      <c r="BB16" s="67">
        <f t="shared" si="11"/>
        <v>12.804148504999999</v>
      </c>
      <c r="BC16" s="67">
        <f t="shared" si="11"/>
        <v>12.804148504999999</v>
      </c>
      <c r="BD16" s="67">
        <f t="shared" si="11"/>
        <v>12.804148504999999</v>
      </c>
      <c r="BE16" s="67">
        <f t="shared" si="11"/>
        <v>12.804148504999999</v>
      </c>
      <c r="BF16" s="67">
        <f t="shared" si="11"/>
        <v>12.804148504999999</v>
      </c>
      <c r="BG16" s="67">
        <f t="shared" si="11"/>
        <v>12.804148504999999</v>
      </c>
      <c r="BH16" s="67">
        <f t="shared" si="11"/>
        <v>12.804148504999999</v>
      </c>
      <c r="BI16" s="67">
        <f t="shared" si="11"/>
        <v>12.804148504999999</v>
      </c>
      <c r="BJ16" s="67">
        <f t="shared" si="11"/>
        <v>12.804148504999999</v>
      </c>
      <c r="BK16" s="67">
        <f t="shared" si="11"/>
        <v>12.804148504999999</v>
      </c>
      <c r="BL16" s="67">
        <f t="shared" si="11"/>
        <v>12.804148504999999</v>
      </c>
      <c r="BM16" s="32"/>
    </row>
    <row r="17" spans="1:70" ht="15.6" x14ac:dyDescent="0.25">
      <c r="A17" s="32" t="s">
        <v>204</v>
      </c>
      <c r="B17" s="32" t="s">
        <v>201</v>
      </c>
      <c r="C17" s="32" t="s">
        <v>22</v>
      </c>
      <c r="D17" s="67">
        <f t="shared" si="10"/>
        <v>14.252572029408542</v>
      </c>
      <c r="E17" s="67">
        <f t="shared" si="11"/>
        <v>14.025805004999999</v>
      </c>
      <c r="F17" s="67">
        <f t="shared" si="11"/>
        <v>14.306623024999999</v>
      </c>
      <c r="G17" s="67">
        <f t="shared" si="11"/>
        <v>14.620429029999999</v>
      </c>
      <c r="H17" s="67">
        <f t="shared" si="11"/>
        <v>14.590514507499998</v>
      </c>
      <c r="I17" s="67">
        <f t="shared" si="11"/>
        <v>14.5560986975</v>
      </c>
      <c r="J17" s="67">
        <f t="shared" si="11"/>
        <v>14.64550135</v>
      </c>
      <c r="K17" s="67">
        <f t="shared" si="11"/>
        <v>15.010263999999998</v>
      </c>
      <c r="L17" s="67">
        <f t="shared" si="11"/>
        <v>14.524579947499998</v>
      </c>
      <c r="M17" s="67">
        <f t="shared" si="11"/>
        <v>14.211828154999999</v>
      </c>
      <c r="N17" s="67">
        <f t="shared" si="11"/>
        <v>14.378254329999999</v>
      </c>
      <c r="O17" s="67">
        <f t="shared" si="11"/>
        <v>14.252103582499998</v>
      </c>
      <c r="P17" s="67">
        <f t="shared" si="11"/>
        <v>14.2292565375</v>
      </c>
      <c r="Q17" s="67">
        <f t="shared" si="11"/>
        <v>13.95303062</v>
      </c>
      <c r="R17" s="67">
        <f t="shared" si="11"/>
        <v>13.576228729999999</v>
      </c>
      <c r="S17" s="67">
        <f t="shared" si="11"/>
        <v>13.176528339999999</v>
      </c>
      <c r="T17" s="67">
        <f t="shared" si="11"/>
        <v>12.727844224999998</v>
      </c>
      <c r="U17" s="67">
        <f t="shared" si="11"/>
        <v>12.727844224999998</v>
      </c>
      <c r="V17" s="67">
        <f t="shared" si="11"/>
        <v>12.727844224999998</v>
      </c>
      <c r="W17" s="67">
        <f t="shared" si="11"/>
        <v>12.727844224999998</v>
      </c>
      <c r="X17" s="67">
        <f t="shared" si="11"/>
        <v>12.727844224999998</v>
      </c>
      <c r="Y17" s="67">
        <f t="shared" si="11"/>
        <v>12.727844224999998</v>
      </c>
      <c r="Z17" s="67">
        <f t="shared" si="11"/>
        <v>12.727844224999998</v>
      </c>
      <c r="AA17" s="67">
        <f t="shared" si="11"/>
        <v>12.727844224999998</v>
      </c>
      <c r="AB17" s="67">
        <f t="shared" si="11"/>
        <v>12.727844224999998</v>
      </c>
      <c r="AC17" s="67">
        <f t="shared" si="11"/>
        <v>12.727844224999998</v>
      </c>
      <c r="AD17" s="67">
        <f t="shared" si="11"/>
        <v>12.727844224999998</v>
      </c>
      <c r="AE17" s="67">
        <f t="shared" si="11"/>
        <v>12.727844224999998</v>
      </c>
      <c r="AF17" s="67">
        <f t="shared" si="11"/>
        <v>12.727844224999998</v>
      </c>
      <c r="AG17" s="67">
        <f t="shared" si="11"/>
        <v>12.727844224999998</v>
      </c>
      <c r="AH17" s="67">
        <f t="shared" si="11"/>
        <v>12.727844224999998</v>
      </c>
      <c r="AI17" s="67">
        <f t="shared" ref="E17:BL19" si="13">AI7*((1+$D$11)^1)</f>
        <v>12.727844224999998</v>
      </c>
      <c r="AJ17" s="67">
        <f t="shared" si="13"/>
        <v>12.727844224999998</v>
      </c>
      <c r="AK17" s="67">
        <f t="shared" si="13"/>
        <v>12.727844224999998</v>
      </c>
      <c r="AL17" s="67">
        <f t="shared" si="13"/>
        <v>12.727844224999998</v>
      </c>
      <c r="AM17" s="67">
        <f t="shared" si="13"/>
        <v>12.727844224999998</v>
      </c>
      <c r="AN17" s="67">
        <f t="shared" si="13"/>
        <v>12.727844224999998</v>
      </c>
      <c r="AO17" s="67">
        <f t="shared" si="13"/>
        <v>12.727844224999998</v>
      </c>
      <c r="AP17" s="67">
        <f t="shared" si="13"/>
        <v>12.727844224999998</v>
      </c>
      <c r="AQ17" s="67">
        <f t="shared" si="13"/>
        <v>12.727844224999998</v>
      </c>
      <c r="AR17" s="67">
        <f t="shared" si="13"/>
        <v>12.727844224999998</v>
      </c>
      <c r="AS17" s="67">
        <f t="shared" si="13"/>
        <v>12.727844224999998</v>
      </c>
      <c r="AT17" s="67">
        <f t="shared" si="13"/>
        <v>12.727844224999998</v>
      </c>
      <c r="AU17" s="67">
        <f t="shared" si="13"/>
        <v>12.727844224999998</v>
      </c>
      <c r="AV17" s="67">
        <f t="shared" si="13"/>
        <v>12.727844224999998</v>
      </c>
      <c r="AW17" s="67">
        <f t="shared" si="13"/>
        <v>12.727844224999998</v>
      </c>
      <c r="AX17" s="67">
        <f t="shared" si="13"/>
        <v>12.727844224999998</v>
      </c>
      <c r="AY17" s="67">
        <f t="shared" si="13"/>
        <v>12.727844224999998</v>
      </c>
      <c r="AZ17" s="67">
        <f t="shared" si="13"/>
        <v>12.727844224999998</v>
      </c>
      <c r="BA17" s="67">
        <f t="shared" si="13"/>
        <v>12.727844224999998</v>
      </c>
      <c r="BB17" s="67">
        <f t="shared" si="13"/>
        <v>12.727844224999998</v>
      </c>
      <c r="BC17" s="67">
        <f t="shared" si="13"/>
        <v>12.727844224999998</v>
      </c>
      <c r="BD17" s="67">
        <f t="shared" si="13"/>
        <v>12.727844224999998</v>
      </c>
      <c r="BE17" s="67">
        <f t="shared" si="13"/>
        <v>12.727844224999998</v>
      </c>
      <c r="BF17" s="67">
        <f t="shared" si="13"/>
        <v>12.727844224999998</v>
      </c>
      <c r="BG17" s="67">
        <f t="shared" si="13"/>
        <v>12.727844224999998</v>
      </c>
      <c r="BH17" s="67">
        <f t="shared" si="13"/>
        <v>12.727844224999998</v>
      </c>
      <c r="BI17" s="67">
        <f t="shared" si="13"/>
        <v>12.727844224999998</v>
      </c>
      <c r="BJ17" s="67">
        <f t="shared" si="13"/>
        <v>12.727844224999998</v>
      </c>
      <c r="BK17" s="67">
        <f t="shared" si="13"/>
        <v>12.727844224999998</v>
      </c>
      <c r="BL17" s="67">
        <f t="shared" si="13"/>
        <v>12.727844224999998</v>
      </c>
      <c r="BM17" s="32"/>
    </row>
    <row r="18" spans="1:70" ht="15.6" x14ac:dyDescent="0.25">
      <c r="A18" s="32" t="s">
        <v>205</v>
      </c>
      <c r="B18" s="32" t="s">
        <v>201</v>
      </c>
      <c r="C18" s="32" t="s">
        <v>22</v>
      </c>
      <c r="D18" s="67">
        <f t="shared" si="10"/>
        <v>14.260851837661702</v>
      </c>
      <c r="E18" s="67">
        <f t="shared" si="13"/>
        <v>14.031186357499999</v>
      </c>
      <c r="F18" s="67">
        <f t="shared" si="13"/>
        <v>14.295825674999998</v>
      </c>
      <c r="G18" s="67">
        <f t="shared" si="13"/>
        <v>14.631254977499998</v>
      </c>
      <c r="H18" s="67">
        <f t="shared" si="13"/>
        <v>14.601924602499999</v>
      </c>
      <c r="I18" s="67">
        <f t="shared" si="13"/>
        <v>14.565130484999999</v>
      </c>
      <c r="J18" s="67">
        <f t="shared" si="13"/>
        <v>14.666669752499999</v>
      </c>
      <c r="K18" s="67">
        <f t="shared" si="13"/>
        <v>15.026375359999999</v>
      </c>
      <c r="L18" s="67">
        <f t="shared" si="13"/>
        <v>14.543673749999998</v>
      </c>
      <c r="M18" s="67">
        <f t="shared" si="13"/>
        <v>14.316010999999998</v>
      </c>
      <c r="N18" s="67">
        <f t="shared" si="13"/>
        <v>14.503364907499998</v>
      </c>
      <c r="O18" s="67">
        <f t="shared" si="13"/>
        <v>14.199256734999999</v>
      </c>
      <c r="P18" s="67">
        <f t="shared" si="13"/>
        <v>14.054199964999999</v>
      </c>
      <c r="Q18" s="67">
        <f t="shared" si="13"/>
        <v>13.801861467499998</v>
      </c>
      <c r="R18" s="67">
        <f t="shared" si="13"/>
        <v>13.4016635425</v>
      </c>
      <c r="S18" s="67">
        <f t="shared" si="13"/>
        <v>12.951712732499999</v>
      </c>
      <c r="T18" s="67">
        <f t="shared" si="13"/>
        <v>12.606906729999999</v>
      </c>
      <c r="U18" s="67">
        <f t="shared" si="13"/>
        <v>12.606906729999999</v>
      </c>
      <c r="V18" s="67">
        <f t="shared" si="13"/>
        <v>12.606906729999999</v>
      </c>
      <c r="W18" s="67">
        <f t="shared" si="13"/>
        <v>12.606906729999999</v>
      </c>
      <c r="X18" s="67">
        <f t="shared" si="13"/>
        <v>12.606906729999999</v>
      </c>
      <c r="Y18" s="67">
        <f t="shared" si="13"/>
        <v>12.606906729999999</v>
      </c>
      <c r="Z18" s="67">
        <f t="shared" si="13"/>
        <v>12.606906729999999</v>
      </c>
      <c r="AA18" s="67">
        <f t="shared" si="13"/>
        <v>12.606906729999999</v>
      </c>
      <c r="AB18" s="67">
        <f t="shared" si="13"/>
        <v>12.606906729999999</v>
      </c>
      <c r="AC18" s="67">
        <f t="shared" si="13"/>
        <v>12.606906729999999</v>
      </c>
      <c r="AD18" s="67">
        <f t="shared" si="13"/>
        <v>12.606906729999999</v>
      </c>
      <c r="AE18" s="67">
        <f t="shared" si="13"/>
        <v>12.606906729999999</v>
      </c>
      <c r="AF18" s="67">
        <f t="shared" si="13"/>
        <v>12.606906729999999</v>
      </c>
      <c r="AG18" s="67">
        <f t="shared" si="13"/>
        <v>12.606906729999999</v>
      </c>
      <c r="AH18" s="67">
        <f t="shared" si="13"/>
        <v>12.606906729999999</v>
      </c>
      <c r="AI18" s="67">
        <f t="shared" si="13"/>
        <v>12.606906729999999</v>
      </c>
      <c r="AJ18" s="67">
        <f t="shared" si="13"/>
        <v>12.606906729999999</v>
      </c>
      <c r="AK18" s="67">
        <f t="shared" si="13"/>
        <v>12.606906729999999</v>
      </c>
      <c r="AL18" s="67">
        <f t="shared" si="13"/>
        <v>12.606906729999999</v>
      </c>
      <c r="AM18" s="67">
        <f t="shared" si="13"/>
        <v>12.606906729999999</v>
      </c>
      <c r="AN18" s="67">
        <f t="shared" si="13"/>
        <v>12.606906729999999</v>
      </c>
      <c r="AO18" s="67">
        <f t="shared" si="13"/>
        <v>12.606906729999999</v>
      </c>
      <c r="AP18" s="67">
        <f t="shared" si="13"/>
        <v>12.606906729999999</v>
      </c>
      <c r="AQ18" s="67">
        <f t="shared" si="13"/>
        <v>12.606906729999999</v>
      </c>
      <c r="AR18" s="67">
        <f t="shared" si="13"/>
        <v>12.606906729999999</v>
      </c>
      <c r="AS18" s="67">
        <f t="shared" si="13"/>
        <v>12.606906729999999</v>
      </c>
      <c r="AT18" s="67">
        <f t="shared" si="13"/>
        <v>12.606906729999999</v>
      </c>
      <c r="AU18" s="67">
        <f t="shared" si="13"/>
        <v>12.606906729999999</v>
      </c>
      <c r="AV18" s="67">
        <f t="shared" si="13"/>
        <v>12.606906729999999</v>
      </c>
      <c r="AW18" s="67">
        <f t="shared" si="13"/>
        <v>12.606906729999999</v>
      </c>
      <c r="AX18" s="67">
        <f t="shared" si="13"/>
        <v>12.606906729999999</v>
      </c>
      <c r="AY18" s="67">
        <f t="shared" si="13"/>
        <v>12.606906729999999</v>
      </c>
      <c r="AZ18" s="67">
        <f t="shared" si="13"/>
        <v>12.606906729999999</v>
      </c>
      <c r="BA18" s="67">
        <f t="shared" si="13"/>
        <v>12.606906729999999</v>
      </c>
      <c r="BB18" s="67">
        <f t="shared" si="13"/>
        <v>12.606906729999999</v>
      </c>
      <c r="BC18" s="67">
        <f t="shared" si="13"/>
        <v>12.606906729999999</v>
      </c>
      <c r="BD18" s="67">
        <f t="shared" si="13"/>
        <v>12.606906729999999</v>
      </c>
      <c r="BE18" s="67">
        <f t="shared" si="13"/>
        <v>12.606906729999999</v>
      </c>
      <c r="BF18" s="67">
        <f t="shared" si="13"/>
        <v>12.606906729999999</v>
      </c>
      <c r="BG18" s="67">
        <f t="shared" si="13"/>
        <v>12.606906729999999</v>
      </c>
      <c r="BH18" s="67">
        <f t="shared" si="13"/>
        <v>12.606906729999999</v>
      </c>
      <c r="BI18" s="67">
        <f t="shared" si="13"/>
        <v>12.606906729999999</v>
      </c>
      <c r="BJ18" s="67">
        <f t="shared" si="13"/>
        <v>12.606906729999999</v>
      </c>
      <c r="BK18" s="67">
        <f t="shared" si="13"/>
        <v>12.606906729999999</v>
      </c>
      <c r="BL18" s="67">
        <f t="shared" si="13"/>
        <v>12.606906729999999</v>
      </c>
      <c r="BM18" s="32"/>
    </row>
    <row r="19" spans="1:70" ht="15.6" x14ac:dyDescent="0.25">
      <c r="A19" s="32" t="s">
        <v>17</v>
      </c>
      <c r="B19" s="32" t="s">
        <v>201</v>
      </c>
      <c r="C19" s="32" t="s">
        <v>22</v>
      </c>
      <c r="D19" s="67">
        <f t="shared" si="10"/>
        <v>11.35289475769935</v>
      </c>
      <c r="E19" s="67">
        <f t="shared" si="13"/>
        <v>11.580758319999999</v>
      </c>
      <c r="F19" s="67">
        <f t="shared" si="13"/>
        <v>11.403853262499998</v>
      </c>
      <c r="G19" s="67">
        <f t="shared" si="13"/>
        <v>11.824932282499999</v>
      </c>
      <c r="H19" s="67">
        <f t="shared" si="13"/>
        <v>11.804103974999999</v>
      </c>
      <c r="I19" s="67">
        <f t="shared" si="13"/>
        <v>11.927538267499999</v>
      </c>
      <c r="J19" s="67">
        <f t="shared" si="13"/>
        <v>12.049752604999998</v>
      </c>
      <c r="K19" s="67">
        <f t="shared" si="13"/>
        <v>12.310048587499999</v>
      </c>
      <c r="L19" s="67">
        <f t="shared" si="13"/>
        <v>11.977832249999999</v>
      </c>
      <c r="M19" s="67">
        <f t="shared" si="13"/>
        <v>12.077072749999999</v>
      </c>
      <c r="N19" s="67">
        <f t="shared" si="13"/>
        <v>12.439164659999999</v>
      </c>
      <c r="O19" s="67">
        <f t="shared" si="13"/>
        <v>12.487037387499999</v>
      </c>
      <c r="P19" s="67">
        <f t="shared" si="13"/>
        <v>12.430043184999999</v>
      </c>
      <c r="Q19" s="67">
        <f t="shared" si="13"/>
        <v>12.361528187499999</v>
      </c>
      <c r="R19" s="67">
        <f t="shared" si="13"/>
        <v>12.149804084999998</v>
      </c>
      <c r="S19" s="67">
        <f t="shared" si="13"/>
        <v>11.930965662499998</v>
      </c>
      <c r="T19" s="67">
        <f t="shared" si="13"/>
        <v>11.747441052499999</v>
      </c>
      <c r="U19" s="67">
        <f t="shared" si="13"/>
        <v>11.747441052499999</v>
      </c>
      <c r="V19" s="67">
        <f t="shared" si="13"/>
        <v>11.747441052499999</v>
      </c>
      <c r="W19" s="67">
        <f t="shared" si="13"/>
        <v>11.747441052499999</v>
      </c>
      <c r="X19" s="67">
        <f t="shared" si="13"/>
        <v>11.747441052499999</v>
      </c>
      <c r="Y19" s="67">
        <f t="shared" si="13"/>
        <v>11.747441052499999</v>
      </c>
      <c r="Z19" s="67">
        <f t="shared" si="13"/>
        <v>11.747441052499999</v>
      </c>
      <c r="AA19" s="67">
        <f t="shared" si="13"/>
        <v>11.747441052499999</v>
      </c>
      <c r="AB19" s="67">
        <f t="shared" si="13"/>
        <v>11.747441052499999</v>
      </c>
      <c r="AC19" s="67">
        <f t="shared" si="13"/>
        <v>11.747441052499999</v>
      </c>
      <c r="AD19" s="67">
        <f t="shared" si="13"/>
        <v>11.747441052499999</v>
      </c>
      <c r="AE19" s="67">
        <f t="shared" si="13"/>
        <v>11.747441052499999</v>
      </c>
      <c r="AF19" s="67">
        <f t="shared" si="13"/>
        <v>11.747441052499999</v>
      </c>
      <c r="AG19" s="67">
        <f t="shared" si="13"/>
        <v>11.747441052499999</v>
      </c>
      <c r="AH19" s="67">
        <f t="shared" si="13"/>
        <v>11.747441052499999</v>
      </c>
      <c r="AI19" s="67">
        <f t="shared" si="13"/>
        <v>11.747441052499999</v>
      </c>
      <c r="AJ19" s="67">
        <f t="shared" si="13"/>
        <v>11.747441052499999</v>
      </c>
      <c r="AK19" s="67">
        <f t="shared" si="13"/>
        <v>11.747441052499999</v>
      </c>
      <c r="AL19" s="67">
        <f t="shared" si="13"/>
        <v>11.747441052499999</v>
      </c>
      <c r="AM19" s="67">
        <f t="shared" si="13"/>
        <v>11.747441052499999</v>
      </c>
      <c r="AN19" s="67">
        <f t="shared" si="13"/>
        <v>11.747441052499999</v>
      </c>
      <c r="AO19" s="67">
        <f t="shared" si="13"/>
        <v>11.747441052499999</v>
      </c>
      <c r="AP19" s="67">
        <f t="shared" si="13"/>
        <v>11.747441052499999</v>
      </c>
      <c r="AQ19" s="67">
        <f t="shared" si="13"/>
        <v>11.747441052499999</v>
      </c>
      <c r="AR19" s="67">
        <f t="shared" si="13"/>
        <v>11.747441052499999</v>
      </c>
      <c r="AS19" s="67">
        <f t="shared" si="13"/>
        <v>11.747441052499999</v>
      </c>
      <c r="AT19" s="67">
        <f t="shared" si="13"/>
        <v>11.747441052499999</v>
      </c>
      <c r="AU19" s="67">
        <f t="shared" si="13"/>
        <v>11.747441052499999</v>
      </c>
      <c r="AV19" s="67">
        <f t="shared" si="13"/>
        <v>11.747441052499999</v>
      </c>
      <c r="AW19" s="67">
        <f t="shared" si="13"/>
        <v>11.747441052499999</v>
      </c>
      <c r="AX19" s="67">
        <f t="shared" si="13"/>
        <v>11.747441052499999</v>
      </c>
      <c r="AY19" s="67">
        <f t="shared" si="13"/>
        <v>11.747441052499999</v>
      </c>
      <c r="AZ19" s="67">
        <f t="shared" si="13"/>
        <v>11.747441052499999</v>
      </c>
      <c r="BA19" s="67">
        <f t="shared" si="13"/>
        <v>11.747441052499999</v>
      </c>
      <c r="BB19" s="67">
        <f t="shared" si="13"/>
        <v>11.747441052499999</v>
      </c>
      <c r="BC19" s="67">
        <f t="shared" si="13"/>
        <v>11.747441052499999</v>
      </c>
      <c r="BD19" s="67">
        <f t="shared" si="13"/>
        <v>11.747441052499999</v>
      </c>
      <c r="BE19" s="67">
        <f t="shared" si="13"/>
        <v>11.747441052499999</v>
      </c>
      <c r="BF19" s="67">
        <f t="shared" si="13"/>
        <v>11.747441052499999</v>
      </c>
      <c r="BG19" s="67">
        <f t="shared" si="13"/>
        <v>11.747441052499999</v>
      </c>
      <c r="BH19" s="67">
        <f t="shared" si="13"/>
        <v>11.747441052499999</v>
      </c>
      <c r="BI19" s="67">
        <f t="shared" si="13"/>
        <v>11.747441052499999</v>
      </c>
      <c r="BJ19" s="67">
        <f t="shared" si="13"/>
        <v>11.747441052499999</v>
      </c>
      <c r="BK19" s="67">
        <f t="shared" si="13"/>
        <v>11.747441052499999</v>
      </c>
      <c r="BL19" s="67">
        <f t="shared" si="13"/>
        <v>11.747441052499999</v>
      </c>
      <c r="BM19" s="32"/>
    </row>
    <row r="20" spans="1:70" x14ac:dyDescent="0.25">
      <c r="D20" s="67"/>
      <c r="BM20" s="32"/>
    </row>
    <row r="21" spans="1:70" x14ac:dyDescent="0.25">
      <c r="A21" s="28" t="s">
        <v>207</v>
      </c>
      <c r="B21" s="4"/>
      <c r="BM21" s="32"/>
      <c r="BN21" s="32"/>
      <c r="BO21" s="32"/>
      <c r="BP21" s="32"/>
      <c r="BQ21" s="32"/>
      <c r="BR21" s="32"/>
    </row>
    <row r="22" spans="1:70" x14ac:dyDescent="0.25">
      <c r="D22" s="31">
        <v>2020</v>
      </c>
      <c r="E22" s="31">
        <v>2021</v>
      </c>
      <c r="F22" s="31">
        <v>2022</v>
      </c>
      <c r="G22" s="31">
        <v>2023</v>
      </c>
      <c r="H22" s="31">
        <v>2024</v>
      </c>
      <c r="I22" s="31">
        <v>2025</v>
      </c>
      <c r="J22" s="31">
        <v>2026</v>
      </c>
      <c r="K22" s="31">
        <v>2027</v>
      </c>
      <c r="L22" s="31">
        <v>2028</v>
      </c>
      <c r="M22" s="31">
        <v>2029</v>
      </c>
      <c r="N22" s="31">
        <v>2030</v>
      </c>
      <c r="O22" s="31">
        <v>2031</v>
      </c>
      <c r="P22" s="31">
        <v>2032</v>
      </c>
      <c r="Q22" s="31">
        <v>2033</v>
      </c>
      <c r="R22" s="31">
        <v>2034</v>
      </c>
      <c r="S22" s="31">
        <v>2035</v>
      </c>
      <c r="T22" s="31">
        <v>2036</v>
      </c>
      <c r="U22" s="31">
        <v>2037</v>
      </c>
      <c r="V22" s="31">
        <v>2038</v>
      </c>
      <c r="W22" s="31">
        <v>2039</v>
      </c>
      <c r="X22" s="31">
        <v>2040</v>
      </c>
      <c r="Y22" s="31">
        <v>2041</v>
      </c>
      <c r="Z22" s="31">
        <v>2042</v>
      </c>
      <c r="AA22" s="31">
        <v>2043</v>
      </c>
      <c r="AB22" s="31">
        <v>2044</v>
      </c>
      <c r="AC22" s="31">
        <v>2045</v>
      </c>
      <c r="AD22" s="31">
        <v>2046</v>
      </c>
      <c r="AE22" s="31">
        <v>2047</v>
      </c>
      <c r="AF22" s="31">
        <v>2048</v>
      </c>
      <c r="AG22" s="31">
        <v>2049</v>
      </c>
      <c r="AH22" s="31">
        <v>2050</v>
      </c>
      <c r="AI22" s="31">
        <v>2051</v>
      </c>
      <c r="AJ22" s="31">
        <v>2052</v>
      </c>
      <c r="AK22" s="31">
        <v>2053</v>
      </c>
      <c r="AL22" s="31">
        <v>2054</v>
      </c>
      <c r="AM22" s="31">
        <v>2055</v>
      </c>
      <c r="AN22" s="31">
        <v>2056</v>
      </c>
      <c r="AO22" s="31">
        <v>2057</v>
      </c>
      <c r="AP22" s="31">
        <v>2058</v>
      </c>
      <c r="AQ22" s="31">
        <v>2059</v>
      </c>
      <c r="AR22" s="31">
        <v>2060</v>
      </c>
      <c r="AS22" s="31">
        <v>2061</v>
      </c>
      <c r="AT22" s="31">
        <v>2062</v>
      </c>
      <c r="AU22" s="31">
        <v>2063</v>
      </c>
      <c r="AV22" s="31">
        <v>2064</v>
      </c>
      <c r="AW22" s="31">
        <v>2065</v>
      </c>
      <c r="AX22" s="31">
        <v>2066</v>
      </c>
      <c r="AY22" s="31">
        <v>2067</v>
      </c>
      <c r="AZ22" s="31">
        <v>2068</v>
      </c>
      <c r="BA22" s="31">
        <v>2069</v>
      </c>
      <c r="BB22" s="31">
        <v>2070</v>
      </c>
      <c r="BC22" s="31">
        <v>2071</v>
      </c>
      <c r="BD22" s="31">
        <v>2072</v>
      </c>
      <c r="BE22" s="31">
        <v>2073</v>
      </c>
      <c r="BF22" s="31">
        <v>2074</v>
      </c>
      <c r="BG22" s="31">
        <v>2075</v>
      </c>
      <c r="BH22" s="31">
        <v>2076</v>
      </c>
      <c r="BI22" s="31">
        <v>2077</v>
      </c>
      <c r="BJ22" s="31">
        <v>2078</v>
      </c>
      <c r="BK22" s="31">
        <v>2079</v>
      </c>
      <c r="BL22" s="31">
        <v>2080</v>
      </c>
      <c r="BM22" s="32"/>
      <c r="BN22" s="32"/>
      <c r="BO22" s="32"/>
      <c r="BP22" s="32"/>
      <c r="BQ22" s="32"/>
      <c r="BR22" s="32"/>
    </row>
    <row r="23" spans="1:70" ht="15" x14ac:dyDescent="0.35">
      <c r="B23" s="3" t="s">
        <v>24</v>
      </c>
      <c r="D23" s="2">
        <v>1</v>
      </c>
      <c r="E23" s="2">
        <v>1</v>
      </c>
      <c r="F23" s="2">
        <v>1</v>
      </c>
      <c r="G23" s="2">
        <v>1</v>
      </c>
      <c r="H23" s="2">
        <v>1</v>
      </c>
      <c r="I23" s="2">
        <v>1</v>
      </c>
      <c r="J23" s="2">
        <v>1</v>
      </c>
      <c r="K23" s="2">
        <v>1</v>
      </c>
      <c r="L23" s="2">
        <v>1</v>
      </c>
      <c r="M23" s="2">
        <v>1</v>
      </c>
      <c r="N23" s="2">
        <v>1</v>
      </c>
      <c r="O23" s="2">
        <v>1</v>
      </c>
      <c r="P23" s="2">
        <v>1</v>
      </c>
      <c r="Q23" s="2">
        <v>1</v>
      </c>
      <c r="R23" s="2">
        <v>1</v>
      </c>
      <c r="S23" s="2">
        <v>1</v>
      </c>
      <c r="T23" s="2">
        <v>1</v>
      </c>
      <c r="U23" s="2">
        <v>1</v>
      </c>
      <c r="V23" s="2">
        <v>1</v>
      </c>
      <c r="W23" s="2">
        <v>1</v>
      </c>
      <c r="X23" s="2">
        <v>1</v>
      </c>
      <c r="Y23" s="2">
        <v>1</v>
      </c>
      <c r="Z23" s="2">
        <v>1</v>
      </c>
      <c r="AA23" s="2">
        <v>1</v>
      </c>
      <c r="AB23" s="2">
        <v>1</v>
      </c>
      <c r="AC23" s="2">
        <v>1</v>
      </c>
      <c r="AD23" s="2">
        <v>1</v>
      </c>
      <c r="AE23" s="2">
        <v>1</v>
      </c>
      <c r="AF23" s="2">
        <v>1</v>
      </c>
      <c r="AG23" s="2">
        <v>1</v>
      </c>
      <c r="AH23" s="2">
        <v>1</v>
      </c>
      <c r="AI23" s="2">
        <v>1</v>
      </c>
      <c r="AJ23" s="2">
        <v>1</v>
      </c>
      <c r="AK23" s="2">
        <v>1</v>
      </c>
      <c r="AL23" s="2">
        <v>1</v>
      </c>
      <c r="AM23" s="2">
        <v>1</v>
      </c>
      <c r="AN23" s="2">
        <v>1</v>
      </c>
      <c r="AO23" s="2">
        <v>1</v>
      </c>
      <c r="AP23" s="2">
        <v>1</v>
      </c>
      <c r="AQ23" s="2">
        <v>1</v>
      </c>
      <c r="AR23" s="2">
        <v>1</v>
      </c>
      <c r="AS23" s="2">
        <v>1</v>
      </c>
      <c r="AT23" s="2">
        <v>1</v>
      </c>
      <c r="AU23" s="2">
        <v>1</v>
      </c>
      <c r="AV23" s="2">
        <v>1</v>
      </c>
      <c r="AW23" s="2">
        <v>1</v>
      </c>
      <c r="AX23" s="2">
        <v>1</v>
      </c>
      <c r="AY23" s="2">
        <v>1</v>
      </c>
      <c r="AZ23" s="2">
        <v>1</v>
      </c>
      <c r="BA23" s="2">
        <v>1</v>
      </c>
      <c r="BB23" s="2">
        <v>1</v>
      </c>
      <c r="BC23" s="2">
        <v>1</v>
      </c>
      <c r="BD23" s="2">
        <v>1</v>
      </c>
      <c r="BE23" s="2">
        <v>1</v>
      </c>
      <c r="BF23" s="2">
        <v>1</v>
      </c>
      <c r="BG23" s="2">
        <v>1</v>
      </c>
      <c r="BH23" s="2">
        <v>1</v>
      </c>
      <c r="BI23" s="2">
        <v>1</v>
      </c>
      <c r="BJ23" s="2">
        <v>1</v>
      </c>
      <c r="BK23" s="2">
        <v>1</v>
      </c>
      <c r="BL23" s="2">
        <v>1</v>
      </c>
    </row>
    <row r="24" spans="1:70" ht="15" x14ac:dyDescent="0.35">
      <c r="B24" s="3" t="str">
        <f>"BEIS "&amp;A13</f>
        <v>BEIS Ref scenario</v>
      </c>
      <c r="D24" s="2">
        <v>1</v>
      </c>
      <c r="E24" s="2">
        <f t="shared" ref="E24:E30" si="14">1+(E13-$D13)/$D13</f>
        <v>0.98428945903108378</v>
      </c>
      <c r="F24" s="2">
        <f t="shared" ref="F24:BL28" si="15">1+(F13-$D13)/$D13</f>
        <v>1.004507000976935</v>
      </c>
      <c r="G24" s="2">
        <f t="shared" si="15"/>
        <v>1.0253896641961773</v>
      </c>
      <c r="H24" s="2">
        <f t="shared" si="15"/>
        <v>1.0251378624406513</v>
      </c>
      <c r="I24" s="2">
        <f t="shared" si="15"/>
        <v>1.0233694216734768</v>
      </c>
      <c r="J24" s="2">
        <f t="shared" si="15"/>
        <v>1.0293769320746606</v>
      </c>
      <c r="K24" s="2">
        <f t="shared" si="15"/>
        <v>1.0575266671732637</v>
      </c>
      <c r="L24" s="2">
        <f t="shared" si="15"/>
        <v>1.0212606896398835</v>
      </c>
      <c r="M24" s="2">
        <f t="shared" si="15"/>
        <v>1.006792855590898</v>
      </c>
      <c r="N24" s="2">
        <f t="shared" si="15"/>
        <v>1.0138949499460566</v>
      </c>
      <c r="O24" s="2">
        <f t="shared" si="15"/>
        <v>1.0050253192427998</v>
      </c>
      <c r="P24" s="2">
        <f t="shared" si="15"/>
        <v>1.0056233197004576</v>
      </c>
      <c r="Q24" s="2">
        <f t="shared" si="15"/>
        <v>0.98067948464392651</v>
      </c>
      <c r="R24" s="2">
        <f t="shared" si="15"/>
        <v>0.95330923676429014</v>
      </c>
      <c r="S24" s="2">
        <f t="shared" si="15"/>
        <v>0.92495004969230454</v>
      </c>
      <c r="T24" s="2">
        <f t="shared" si="15"/>
        <v>0.89236869700952137</v>
      </c>
      <c r="U24" s="2">
        <f t="shared" si="15"/>
        <v>0.89236869700952137</v>
      </c>
      <c r="V24" s="2">
        <f t="shared" si="15"/>
        <v>0.89236869700952137</v>
      </c>
      <c r="W24" s="2">
        <f t="shared" si="15"/>
        <v>0.89236869700952137</v>
      </c>
      <c r="X24" s="2">
        <f t="shared" si="15"/>
        <v>0.89236869700952137</v>
      </c>
      <c r="Y24" s="2">
        <f t="shared" si="15"/>
        <v>0.89236869700952137</v>
      </c>
      <c r="Z24" s="2">
        <f t="shared" si="15"/>
        <v>0.89236869700952137</v>
      </c>
      <c r="AA24" s="2">
        <f t="shared" si="15"/>
        <v>0.89236869700952137</v>
      </c>
      <c r="AB24" s="2">
        <f t="shared" si="15"/>
        <v>0.89236869700952137</v>
      </c>
      <c r="AC24" s="2">
        <f t="shared" si="15"/>
        <v>0.89236869700952137</v>
      </c>
      <c r="AD24" s="2">
        <f t="shared" si="15"/>
        <v>0.89236869700952137</v>
      </c>
      <c r="AE24" s="2">
        <f t="shared" si="15"/>
        <v>0.89236869700952137</v>
      </c>
      <c r="AF24" s="2">
        <f t="shared" si="15"/>
        <v>0.89236869700952137</v>
      </c>
      <c r="AG24" s="2">
        <f t="shared" si="15"/>
        <v>0.89236869700952137</v>
      </c>
      <c r="AH24" s="2">
        <f t="shared" si="15"/>
        <v>0.89236869700952137</v>
      </c>
      <c r="AI24" s="2">
        <f t="shared" si="15"/>
        <v>0.89236869700952137</v>
      </c>
      <c r="AJ24" s="2">
        <f t="shared" si="15"/>
        <v>0.89236869700952137</v>
      </c>
      <c r="AK24" s="2">
        <f t="shared" si="15"/>
        <v>0.89236869700952137</v>
      </c>
      <c r="AL24" s="2">
        <f t="shared" si="15"/>
        <v>0.89236869700952137</v>
      </c>
      <c r="AM24" s="2">
        <f t="shared" si="15"/>
        <v>0.89236869700952137</v>
      </c>
      <c r="AN24" s="2">
        <f t="shared" si="15"/>
        <v>0.89236869700952137</v>
      </c>
      <c r="AO24" s="2">
        <f t="shared" si="15"/>
        <v>0.89236869700952137</v>
      </c>
      <c r="AP24" s="2">
        <f t="shared" si="15"/>
        <v>0.89236869700952137</v>
      </c>
      <c r="AQ24" s="2">
        <f t="shared" si="15"/>
        <v>0.89236869700952137</v>
      </c>
      <c r="AR24" s="2">
        <f t="shared" si="15"/>
        <v>0.89236869700952137</v>
      </c>
      <c r="AS24" s="2">
        <f t="shared" si="15"/>
        <v>0.89236869700952137</v>
      </c>
      <c r="AT24" s="2">
        <f t="shared" si="15"/>
        <v>0.89236869700952137</v>
      </c>
      <c r="AU24" s="2">
        <f t="shared" si="15"/>
        <v>0.89236869700952137</v>
      </c>
      <c r="AV24" s="2">
        <f t="shared" si="15"/>
        <v>0.89236869700952137</v>
      </c>
      <c r="AW24" s="2">
        <f t="shared" si="15"/>
        <v>0.89236869700952137</v>
      </c>
      <c r="AX24" s="2">
        <f t="shared" si="15"/>
        <v>0.89236869700952137</v>
      </c>
      <c r="AY24" s="2">
        <f t="shared" si="15"/>
        <v>0.89236869700952137</v>
      </c>
      <c r="AZ24" s="2">
        <f t="shared" si="15"/>
        <v>0.89236869700952137</v>
      </c>
      <c r="BA24" s="2">
        <f t="shared" si="15"/>
        <v>0.89236869700952137</v>
      </c>
      <c r="BB24" s="2">
        <f t="shared" si="15"/>
        <v>0.89236869700952137</v>
      </c>
      <c r="BC24" s="2">
        <f t="shared" si="15"/>
        <v>0.89236869700952137</v>
      </c>
      <c r="BD24" s="2">
        <f t="shared" si="15"/>
        <v>0.89236869700952137</v>
      </c>
      <c r="BE24" s="2">
        <f t="shared" si="15"/>
        <v>0.89236869700952137</v>
      </c>
      <c r="BF24" s="2">
        <f t="shared" si="15"/>
        <v>0.89236869700952137</v>
      </c>
      <c r="BG24" s="2">
        <f t="shared" si="15"/>
        <v>0.89236869700952137</v>
      </c>
      <c r="BH24" s="2">
        <f t="shared" si="15"/>
        <v>0.89236869700952137</v>
      </c>
      <c r="BI24" s="2">
        <f t="shared" si="15"/>
        <v>0.89236869700952137</v>
      </c>
      <c r="BJ24" s="2">
        <f t="shared" si="15"/>
        <v>0.89236869700952137</v>
      </c>
      <c r="BK24" s="2">
        <f t="shared" si="15"/>
        <v>0.89236869700952137</v>
      </c>
      <c r="BL24" s="2">
        <f t="shared" si="15"/>
        <v>0.89236869700952137</v>
      </c>
      <c r="BM24" s="32"/>
      <c r="BN24" s="32"/>
      <c r="BO24" s="32"/>
      <c r="BP24" s="32"/>
      <c r="BQ24" s="32"/>
      <c r="BR24" s="32"/>
    </row>
    <row r="25" spans="1:70" ht="15" x14ac:dyDescent="0.35">
      <c r="B25" s="3" t="str">
        <f t="shared" ref="B25:B30" si="16">"BEIS "&amp;A14</f>
        <v>BEIS Low prices</v>
      </c>
      <c r="D25" s="2">
        <v>1</v>
      </c>
      <c r="E25" s="2">
        <f t="shared" si="14"/>
        <v>1.0004703513689519</v>
      </c>
      <c r="F25" s="2">
        <f t="shared" ref="F25:T25" si="17">1+(F14-$D14)/$D14</f>
        <v>1.0057492234056522</v>
      </c>
      <c r="G25" s="2">
        <f t="shared" si="17"/>
        <v>1.0174488359236791</v>
      </c>
      <c r="H25" s="2">
        <f t="shared" si="17"/>
        <v>1.021585870288902</v>
      </c>
      <c r="I25" s="2">
        <f t="shared" si="17"/>
        <v>1.0279549734272087</v>
      </c>
      <c r="J25" s="2">
        <f t="shared" si="17"/>
        <v>1.0365734013815664</v>
      </c>
      <c r="K25" s="2">
        <f t="shared" si="17"/>
        <v>1.0749284457808557</v>
      </c>
      <c r="L25" s="2">
        <f t="shared" si="17"/>
        <v>1.0465470787915734</v>
      </c>
      <c r="M25" s="2">
        <f t="shared" si="17"/>
        <v>1.0255936420442597</v>
      </c>
      <c r="N25" s="2">
        <f t="shared" si="17"/>
        <v>1.0334903088826963</v>
      </c>
      <c r="O25" s="2">
        <f t="shared" si="17"/>
        <v>1.0334314244632279</v>
      </c>
      <c r="P25" s="2">
        <f t="shared" si="17"/>
        <v>1.0394226948854479</v>
      </c>
      <c r="Q25" s="2">
        <f t="shared" si="17"/>
        <v>1.0173512696566687</v>
      </c>
      <c r="R25" s="2">
        <f t="shared" si="17"/>
        <v>0.98247132920046265</v>
      </c>
      <c r="S25" s="2">
        <f t="shared" si="17"/>
        <v>0.94923580578215816</v>
      </c>
      <c r="T25" s="2">
        <f t="shared" si="17"/>
        <v>0.91964517715324834</v>
      </c>
      <c r="U25" s="2">
        <f t="shared" si="15"/>
        <v>0.91964517715324834</v>
      </c>
      <c r="V25" s="2">
        <f t="shared" si="15"/>
        <v>0.91964517715324834</v>
      </c>
      <c r="W25" s="2">
        <f t="shared" si="15"/>
        <v>0.91964517715324834</v>
      </c>
      <c r="X25" s="2">
        <f t="shared" si="15"/>
        <v>0.91964517715324834</v>
      </c>
      <c r="Y25" s="2">
        <f t="shared" si="15"/>
        <v>0.91964517715324834</v>
      </c>
      <c r="Z25" s="2">
        <f t="shared" si="15"/>
        <v>0.91964517715324834</v>
      </c>
      <c r="AA25" s="2">
        <f t="shared" si="15"/>
        <v>0.91964517715324834</v>
      </c>
      <c r="AB25" s="2">
        <f t="shared" si="15"/>
        <v>0.91964517715324834</v>
      </c>
      <c r="AC25" s="2">
        <f t="shared" si="15"/>
        <v>0.91964517715324834</v>
      </c>
      <c r="AD25" s="2">
        <f t="shared" si="15"/>
        <v>0.91964517715324834</v>
      </c>
      <c r="AE25" s="2">
        <f t="shared" si="15"/>
        <v>0.91964517715324834</v>
      </c>
      <c r="AF25" s="2">
        <f t="shared" si="15"/>
        <v>0.91964517715324834</v>
      </c>
      <c r="AG25" s="2">
        <f t="shared" si="15"/>
        <v>0.91964517715324834</v>
      </c>
      <c r="AH25" s="2">
        <f t="shared" si="15"/>
        <v>0.91964517715324834</v>
      </c>
      <c r="AI25" s="2">
        <f t="shared" si="15"/>
        <v>0.91964517715324834</v>
      </c>
      <c r="AJ25" s="2">
        <f t="shared" si="15"/>
        <v>0.91964517715324834</v>
      </c>
      <c r="AK25" s="2">
        <f t="shared" si="15"/>
        <v>0.91964517715324834</v>
      </c>
      <c r="AL25" s="2">
        <f t="shared" si="15"/>
        <v>0.91964517715324834</v>
      </c>
      <c r="AM25" s="2">
        <f t="shared" si="15"/>
        <v>0.91964517715324834</v>
      </c>
      <c r="AN25" s="2">
        <f t="shared" si="15"/>
        <v>0.91964517715324834</v>
      </c>
      <c r="AO25" s="2">
        <f t="shared" si="15"/>
        <v>0.91964517715324834</v>
      </c>
      <c r="AP25" s="2">
        <f t="shared" si="15"/>
        <v>0.91964517715324834</v>
      </c>
      <c r="AQ25" s="2">
        <f t="shared" si="15"/>
        <v>0.91964517715324834</v>
      </c>
      <c r="AR25" s="2">
        <f t="shared" si="15"/>
        <v>0.91964517715324834</v>
      </c>
      <c r="AS25" s="2">
        <f t="shared" si="15"/>
        <v>0.91964517715324834</v>
      </c>
      <c r="AT25" s="2">
        <f t="shared" si="15"/>
        <v>0.91964517715324834</v>
      </c>
      <c r="AU25" s="2">
        <f t="shared" si="15"/>
        <v>0.91964517715324834</v>
      </c>
      <c r="AV25" s="2">
        <f t="shared" si="15"/>
        <v>0.91964517715324834</v>
      </c>
      <c r="AW25" s="2">
        <f t="shared" si="15"/>
        <v>0.91964517715324834</v>
      </c>
      <c r="AX25" s="2">
        <f t="shared" si="15"/>
        <v>0.91964517715324834</v>
      </c>
      <c r="AY25" s="2">
        <f t="shared" si="15"/>
        <v>0.91964517715324834</v>
      </c>
      <c r="AZ25" s="2">
        <f t="shared" si="15"/>
        <v>0.91964517715324834</v>
      </c>
      <c r="BA25" s="2">
        <f t="shared" si="15"/>
        <v>0.91964517715324834</v>
      </c>
      <c r="BB25" s="2">
        <f t="shared" si="15"/>
        <v>0.91964517715324834</v>
      </c>
      <c r="BC25" s="2">
        <f t="shared" si="15"/>
        <v>0.91964517715324834</v>
      </c>
      <c r="BD25" s="2">
        <f t="shared" si="15"/>
        <v>0.91964517715324834</v>
      </c>
      <c r="BE25" s="2">
        <f t="shared" si="15"/>
        <v>0.91964517715324834</v>
      </c>
      <c r="BF25" s="2">
        <f t="shared" si="15"/>
        <v>0.91964517715324834</v>
      </c>
      <c r="BG25" s="2">
        <f t="shared" si="15"/>
        <v>0.91964517715324834</v>
      </c>
      <c r="BH25" s="2">
        <f t="shared" si="15"/>
        <v>0.91964517715324834</v>
      </c>
      <c r="BI25" s="2">
        <f t="shared" si="15"/>
        <v>0.91964517715324834</v>
      </c>
      <c r="BJ25" s="2">
        <f t="shared" si="15"/>
        <v>0.91964517715324834</v>
      </c>
      <c r="BK25" s="2">
        <f t="shared" si="15"/>
        <v>0.91964517715324834</v>
      </c>
      <c r="BL25" s="2">
        <f t="shared" si="15"/>
        <v>0.91964517715324834</v>
      </c>
    </row>
    <row r="26" spans="1:70" ht="15" x14ac:dyDescent="0.35">
      <c r="B26" s="3" t="str">
        <f t="shared" si="16"/>
        <v>BEIS High prices</v>
      </c>
      <c r="D26" s="2">
        <v>1</v>
      </c>
      <c r="E26" s="2">
        <f t="shared" si="14"/>
        <v>0.95834490260589744</v>
      </c>
      <c r="F26" s="2">
        <f t="shared" si="15"/>
        <v>0.99886823352763454</v>
      </c>
      <c r="G26" s="2">
        <f t="shared" si="15"/>
        <v>1.027417363960933</v>
      </c>
      <c r="H26" s="2">
        <f t="shared" si="15"/>
        <v>1.0131307029766297</v>
      </c>
      <c r="I26" s="2">
        <f t="shared" si="15"/>
        <v>1.0040990062662645</v>
      </c>
      <c r="J26" s="2">
        <f t="shared" si="15"/>
        <v>0.99784202872952965</v>
      </c>
      <c r="K26" s="2">
        <f t="shared" si="15"/>
        <v>1.0075105509107747</v>
      </c>
      <c r="L26" s="2">
        <f t="shared" si="15"/>
        <v>0.97597380801241773</v>
      </c>
      <c r="M26" s="2">
        <f t="shared" si="15"/>
        <v>0.95213564677912521</v>
      </c>
      <c r="N26" s="2">
        <f t="shared" si="15"/>
        <v>0.95317325680655396</v>
      </c>
      <c r="O26" s="2">
        <f t="shared" si="15"/>
        <v>0.94608040369375779</v>
      </c>
      <c r="P26" s="2">
        <f t="shared" si="15"/>
        <v>0.94591512188551696</v>
      </c>
      <c r="Q26" s="2">
        <f t="shared" si="15"/>
        <v>0.92273642151569624</v>
      </c>
      <c r="R26" s="2">
        <f t="shared" si="15"/>
        <v>0.89168317864318081</v>
      </c>
      <c r="S26" s="2">
        <f t="shared" si="15"/>
        <v>0.86656190641720032</v>
      </c>
      <c r="T26" s="2">
        <f t="shared" si="15"/>
        <v>0.84082385054173869</v>
      </c>
      <c r="U26" s="2">
        <f t="shared" si="15"/>
        <v>0.84082385054173869</v>
      </c>
      <c r="V26" s="2">
        <f t="shared" si="15"/>
        <v>0.84082385054173869</v>
      </c>
      <c r="W26" s="2">
        <f t="shared" si="15"/>
        <v>0.84082385054173869</v>
      </c>
      <c r="X26" s="2">
        <f t="shared" si="15"/>
        <v>0.84082385054173869</v>
      </c>
      <c r="Y26" s="2">
        <f t="shared" si="15"/>
        <v>0.84082385054173869</v>
      </c>
      <c r="Z26" s="2">
        <f t="shared" si="15"/>
        <v>0.84082385054173869</v>
      </c>
      <c r="AA26" s="2">
        <f t="shared" si="15"/>
        <v>0.84082385054173869</v>
      </c>
      <c r="AB26" s="2">
        <f t="shared" si="15"/>
        <v>0.84082385054173869</v>
      </c>
      <c r="AC26" s="2">
        <f t="shared" si="15"/>
        <v>0.84082385054173869</v>
      </c>
      <c r="AD26" s="2">
        <f t="shared" si="15"/>
        <v>0.84082385054173869</v>
      </c>
      <c r="AE26" s="2">
        <f t="shared" si="15"/>
        <v>0.84082385054173869</v>
      </c>
      <c r="AF26" s="2">
        <f t="shared" si="15"/>
        <v>0.84082385054173869</v>
      </c>
      <c r="AG26" s="2">
        <f t="shared" si="15"/>
        <v>0.84082385054173869</v>
      </c>
      <c r="AH26" s="2">
        <f t="shared" si="15"/>
        <v>0.84082385054173869</v>
      </c>
      <c r="AI26" s="2">
        <f t="shared" si="15"/>
        <v>0.84082385054173869</v>
      </c>
      <c r="AJ26" s="2">
        <f t="shared" si="15"/>
        <v>0.84082385054173869</v>
      </c>
      <c r="AK26" s="2">
        <f t="shared" si="15"/>
        <v>0.84082385054173869</v>
      </c>
      <c r="AL26" s="2">
        <f t="shared" si="15"/>
        <v>0.84082385054173869</v>
      </c>
      <c r="AM26" s="2">
        <f t="shared" si="15"/>
        <v>0.84082385054173869</v>
      </c>
      <c r="AN26" s="2">
        <f t="shared" si="15"/>
        <v>0.84082385054173869</v>
      </c>
      <c r="AO26" s="2">
        <f t="shared" si="15"/>
        <v>0.84082385054173869</v>
      </c>
      <c r="AP26" s="2">
        <f t="shared" si="15"/>
        <v>0.84082385054173869</v>
      </c>
      <c r="AQ26" s="2">
        <f t="shared" si="15"/>
        <v>0.84082385054173869</v>
      </c>
      <c r="AR26" s="2">
        <f t="shared" si="15"/>
        <v>0.84082385054173869</v>
      </c>
      <c r="AS26" s="2">
        <f t="shared" si="15"/>
        <v>0.84082385054173869</v>
      </c>
      <c r="AT26" s="2">
        <f t="shared" si="15"/>
        <v>0.84082385054173869</v>
      </c>
      <c r="AU26" s="2">
        <f t="shared" si="15"/>
        <v>0.84082385054173869</v>
      </c>
      <c r="AV26" s="2">
        <f t="shared" si="15"/>
        <v>0.84082385054173869</v>
      </c>
      <c r="AW26" s="2">
        <f t="shared" si="15"/>
        <v>0.84082385054173869</v>
      </c>
      <c r="AX26" s="2">
        <f t="shared" si="15"/>
        <v>0.84082385054173869</v>
      </c>
      <c r="AY26" s="2">
        <f t="shared" si="15"/>
        <v>0.84082385054173869</v>
      </c>
      <c r="AZ26" s="2">
        <f t="shared" si="15"/>
        <v>0.84082385054173869</v>
      </c>
      <c r="BA26" s="2">
        <f t="shared" si="15"/>
        <v>0.84082385054173869</v>
      </c>
      <c r="BB26" s="2">
        <f t="shared" si="15"/>
        <v>0.84082385054173869</v>
      </c>
      <c r="BC26" s="2">
        <f t="shared" si="15"/>
        <v>0.84082385054173869</v>
      </c>
      <c r="BD26" s="2">
        <f t="shared" si="15"/>
        <v>0.84082385054173869</v>
      </c>
      <c r="BE26" s="2">
        <f t="shared" si="15"/>
        <v>0.84082385054173869</v>
      </c>
      <c r="BF26" s="2">
        <f t="shared" si="15"/>
        <v>0.84082385054173869</v>
      </c>
      <c r="BG26" s="2">
        <f t="shared" si="15"/>
        <v>0.84082385054173869</v>
      </c>
      <c r="BH26" s="2">
        <f t="shared" si="15"/>
        <v>0.84082385054173869</v>
      </c>
      <c r="BI26" s="2">
        <f t="shared" si="15"/>
        <v>0.84082385054173869</v>
      </c>
      <c r="BJ26" s="2">
        <f t="shared" si="15"/>
        <v>0.84082385054173869</v>
      </c>
      <c r="BK26" s="2">
        <f t="shared" si="15"/>
        <v>0.84082385054173869</v>
      </c>
      <c r="BL26" s="2">
        <f t="shared" si="15"/>
        <v>0.84082385054173869</v>
      </c>
    </row>
    <row r="27" spans="1:70" ht="15" x14ac:dyDescent="0.35">
      <c r="B27" s="3" t="str">
        <f t="shared" si="16"/>
        <v>BEIS Low growth</v>
      </c>
      <c r="D27" s="2">
        <v>1</v>
      </c>
      <c r="E27" s="2">
        <f t="shared" si="14"/>
        <v>0.98473652341501516</v>
      </c>
      <c r="F27" s="2">
        <f>1+(F16-$D16)/$D16</f>
        <v>1.004535315895366</v>
      </c>
      <c r="G27" s="2">
        <f t="shared" si="15"/>
        <v>1.0265295342519056</v>
      </c>
      <c r="H27" s="2">
        <f t="shared" si="15"/>
        <v>1.0261822163252245</v>
      </c>
      <c r="I27" s="2">
        <f t="shared" si="15"/>
        <v>1.0243909538209723</v>
      </c>
      <c r="J27" s="2">
        <f t="shared" si="15"/>
        <v>1.0313881635021411</v>
      </c>
      <c r="K27" s="2">
        <f t="shared" si="15"/>
        <v>1.0585107043143136</v>
      </c>
      <c r="L27" s="2">
        <f t="shared" si="15"/>
        <v>1.0212172886736379</v>
      </c>
      <c r="M27" s="2">
        <f t="shared" si="15"/>
        <v>1.0024652540157524</v>
      </c>
      <c r="N27" s="2">
        <f t="shared" si="15"/>
        <v>1.0117248808691517</v>
      </c>
      <c r="O27" s="2">
        <f t="shared" si="15"/>
        <v>1.0060159576208707</v>
      </c>
      <c r="P27" s="2">
        <f t="shared" si="15"/>
        <v>1.0073655350308073</v>
      </c>
      <c r="Q27" s="2">
        <f t="shared" si="15"/>
        <v>0.98106558968552204</v>
      </c>
      <c r="R27" s="2">
        <f t="shared" si="15"/>
        <v>0.95157593225717108</v>
      </c>
      <c r="S27" s="2">
        <f t="shared" si="15"/>
        <v>0.92033981898291795</v>
      </c>
      <c r="T27" s="2">
        <f t="shared" si="15"/>
        <v>0.89569235667759151</v>
      </c>
      <c r="U27" s="2">
        <f t="shared" si="15"/>
        <v>0.89569235667759151</v>
      </c>
      <c r="V27" s="2">
        <f t="shared" si="15"/>
        <v>0.89569235667759151</v>
      </c>
      <c r="W27" s="2">
        <f t="shared" si="15"/>
        <v>0.89569235667759151</v>
      </c>
      <c r="X27" s="2">
        <f t="shared" si="15"/>
        <v>0.89569235667759151</v>
      </c>
      <c r="Y27" s="2">
        <f t="shared" si="15"/>
        <v>0.89569235667759151</v>
      </c>
      <c r="Z27" s="2">
        <f t="shared" si="15"/>
        <v>0.89569235667759151</v>
      </c>
      <c r="AA27" s="2">
        <f t="shared" si="15"/>
        <v>0.89569235667759151</v>
      </c>
      <c r="AB27" s="2">
        <f t="shared" si="15"/>
        <v>0.89569235667759151</v>
      </c>
      <c r="AC27" s="2">
        <f t="shared" si="15"/>
        <v>0.89569235667759151</v>
      </c>
      <c r="AD27" s="2">
        <f t="shared" si="15"/>
        <v>0.89569235667759151</v>
      </c>
      <c r="AE27" s="2">
        <f t="shared" si="15"/>
        <v>0.89569235667759151</v>
      </c>
      <c r="AF27" s="2">
        <f t="shared" si="15"/>
        <v>0.89569235667759151</v>
      </c>
      <c r="AG27" s="2">
        <f t="shared" si="15"/>
        <v>0.89569235667759151</v>
      </c>
      <c r="AH27" s="2">
        <f t="shared" si="15"/>
        <v>0.89569235667759151</v>
      </c>
      <c r="AI27" s="2">
        <f t="shared" si="15"/>
        <v>0.89569235667759151</v>
      </c>
      <c r="AJ27" s="2">
        <f t="shared" si="15"/>
        <v>0.89569235667759151</v>
      </c>
      <c r="AK27" s="2">
        <f t="shared" si="15"/>
        <v>0.89569235667759151</v>
      </c>
      <c r="AL27" s="2">
        <f t="shared" si="15"/>
        <v>0.89569235667759151</v>
      </c>
      <c r="AM27" s="2">
        <f t="shared" si="15"/>
        <v>0.89569235667759151</v>
      </c>
      <c r="AN27" s="2">
        <f t="shared" si="15"/>
        <v>0.89569235667759151</v>
      </c>
      <c r="AO27" s="2">
        <f t="shared" si="15"/>
        <v>0.89569235667759151</v>
      </c>
      <c r="AP27" s="2">
        <f t="shared" si="15"/>
        <v>0.89569235667759151</v>
      </c>
      <c r="AQ27" s="2">
        <f t="shared" si="15"/>
        <v>0.89569235667759151</v>
      </c>
      <c r="AR27" s="2">
        <f t="shared" si="15"/>
        <v>0.89569235667759151</v>
      </c>
      <c r="AS27" s="2">
        <f t="shared" si="15"/>
        <v>0.89569235667759151</v>
      </c>
      <c r="AT27" s="2">
        <f t="shared" si="15"/>
        <v>0.89569235667759151</v>
      </c>
      <c r="AU27" s="2">
        <f t="shared" si="15"/>
        <v>0.89569235667759151</v>
      </c>
      <c r="AV27" s="2">
        <f t="shared" si="15"/>
        <v>0.89569235667759151</v>
      </c>
      <c r="AW27" s="2">
        <f t="shared" si="15"/>
        <v>0.89569235667759151</v>
      </c>
      <c r="AX27" s="2">
        <f t="shared" si="15"/>
        <v>0.89569235667759151</v>
      </c>
      <c r="AY27" s="2">
        <f t="shared" si="15"/>
        <v>0.89569235667759151</v>
      </c>
      <c r="AZ27" s="2">
        <f t="shared" si="15"/>
        <v>0.89569235667759151</v>
      </c>
      <c r="BA27" s="2">
        <f t="shared" si="15"/>
        <v>0.89569235667759151</v>
      </c>
      <c r="BB27" s="2">
        <f t="shared" si="15"/>
        <v>0.89569235667759151</v>
      </c>
      <c r="BC27" s="2">
        <f t="shared" si="15"/>
        <v>0.89569235667759151</v>
      </c>
      <c r="BD27" s="2">
        <f t="shared" si="15"/>
        <v>0.89569235667759151</v>
      </c>
      <c r="BE27" s="2">
        <f t="shared" si="15"/>
        <v>0.89569235667759151</v>
      </c>
      <c r="BF27" s="2">
        <f t="shared" si="15"/>
        <v>0.89569235667759151</v>
      </c>
      <c r="BG27" s="2">
        <f t="shared" si="15"/>
        <v>0.89569235667759151</v>
      </c>
      <c r="BH27" s="2">
        <f t="shared" si="15"/>
        <v>0.89569235667759151</v>
      </c>
      <c r="BI27" s="2">
        <f t="shared" si="15"/>
        <v>0.89569235667759151</v>
      </c>
      <c r="BJ27" s="2">
        <f t="shared" si="15"/>
        <v>0.89569235667759151</v>
      </c>
      <c r="BK27" s="2">
        <f t="shared" si="15"/>
        <v>0.89569235667759151</v>
      </c>
      <c r="BL27" s="2">
        <f t="shared" si="15"/>
        <v>0.89569235667759151</v>
      </c>
    </row>
    <row r="28" spans="1:70" ht="15" x14ac:dyDescent="0.35">
      <c r="B28" s="3" t="str">
        <f t="shared" si="16"/>
        <v>BEIS High growth</v>
      </c>
      <c r="D28" s="2">
        <v>1</v>
      </c>
      <c r="E28" s="2">
        <f t="shared" si="14"/>
        <v>0.98408939636013515</v>
      </c>
      <c r="F28" s="2">
        <f t="shared" si="15"/>
        <v>1.0037923678252549</v>
      </c>
      <c r="G28" s="2">
        <f t="shared" si="15"/>
        <v>1.0258098678492855</v>
      </c>
      <c r="H28" s="2">
        <f t="shared" si="15"/>
        <v>1.0237109819472689</v>
      </c>
      <c r="I28" s="2">
        <f t="shared" si="15"/>
        <v>1.0212962732245916</v>
      </c>
      <c r="J28" s="2">
        <f t="shared" si="15"/>
        <v>1.0275690113883089</v>
      </c>
      <c r="K28" s="2">
        <f t="shared" si="15"/>
        <v>1.0531617710142454</v>
      </c>
      <c r="L28" s="2">
        <f t="shared" si="15"/>
        <v>1.0190848302699469</v>
      </c>
      <c r="M28" s="2">
        <f t="shared" si="15"/>
        <v>0.99714129672002549</v>
      </c>
      <c r="N28" s="2">
        <f t="shared" si="15"/>
        <v>1.0088182189384574</v>
      </c>
      <c r="O28" s="2">
        <f t="shared" si="15"/>
        <v>0.99996713246510338</v>
      </c>
      <c r="P28" s="2">
        <f t="shared" si="15"/>
        <v>0.99836412039452016</v>
      </c>
      <c r="Q28" s="2">
        <f t="shared" si="15"/>
        <v>0.97898334358244443</v>
      </c>
      <c r="R28" s="2">
        <f t="shared" si="15"/>
        <v>0.95254587747299313</v>
      </c>
      <c r="S28" s="2">
        <f t="shared" si="15"/>
        <v>0.92450178906738723</v>
      </c>
      <c r="T28" s="2">
        <f t="shared" si="15"/>
        <v>0.8930208666013093</v>
      </c>
      <c r="U28" s="2">
        <f t="shared" si="15"/>
        <v>0.8930208666013093</v>
      </c>
      <c r="V28" s="2">
        <f t="shared" si="15"/>
        <v>0.8930208666013093</v>
      </c>
      <c r="W28" s="2">
        <f t="shared" si="15"/>
        <v>0.8930208666013093</v>
      </c>
      <c r="X28" s="2">
        <f t="shared" si="15"/>
        <v>0.8930208666013093</v>
      </c>
      <c r="Y28" s="2">
        <f t="shared" si="15"/>
        <v>0.8930208666013093</v>
      </c>
      <c r="Z28" s="2">
        <f t="shared" si="15"/>
        <v>0.8930208666013093</v>
      </c>
      <c r="AA28" s="2">
        <f t="shared" si="15"/>
        <v>0.8930208666013093</v>
      </c>
      <c r="AB28" s="2">
        <f t="shared" si="15"/>
        <v>0.8930208666013093</v>
      </c>
      <c r="AC28" s="2">
        <f t="shared" si="15"/>
        <v>0.8930208666013093</v>
      </c>
      <c r="AD28" s="2">
        <f t="shared" si="15"/>
        <v>0.8930208666013093</v>
      </c>
      <c r="AE28" s="2">
        <f t="shared" si="15"/>
        <v>0.8930208666013093</v>
      </c>
      <c r="AF28" s="2">
        <f t="shared" si="15"/>
        <v>0.8930208666013093</v>
      </c>
      <c r="AG28" s="2">
        <f t="shared" si="15"/>
        <v>0.8930208666013093</v>
      </c>
      <c r="AH28" s="2">
        <f t="shared" si="15"/>
        <v>0.8930208666013093</v>
      </c>
      <c r="AI28" s="2">
        <f t="shared" si="15"/>
        <v>0.8930208666013093</v>
      </c>
      <c r="AJ28" s="2">
        <f t="shared" si="15"/>
        <v>0.8930208666013093</v>
      </c>
      <c r="AK28" s="2">
        <f t="shared" si="15"/>
        <v>0.8930208666013093</v>
      </c>
      <c r="AL28" s="2">
        <f t="shared" si="15"/>
        <v>0.8930208666013093</v>
      </c>
      <c r="AM28" s="2">
        <f t="shared" si="15"/>
        <v>0.8930208666013093</v>
      </c>
      <c r="AN28" s="2">
        <f t="shared" ref="F28:BL30" si="18">1+(AN17-$D17)/$D17</f>
        <v>0.8930208666013093</v>
      </c>
      <c r="AO28" s="2">
        <f t="shared" si="18"/>
        <v>0.8930208666013093</v>
      </c>
      <c r="AP28" s="2">
        <f t="shared" si="18"/>
        <v>0.8930208666013093</v>
      </c>
      <c r="AQ28" s="2">
        <f t="shared" si="18"/>
        <v>0.8930208666013093</v>
      </c>
      <c r="AR28" s="2">
        <f t="shared" si="18"/>
        <v>0.8930208666013093</v>
      </c>
      <c r="AS28" s="2">
        <f t="shared" si="18"/>
        <v>0.8930208666013093</v>
      </c>
      <c r="AT28" s="2">
        <f t="shared" si="18"/>
        <v>0.8930208666013093</v>
      </c>
      <c r="AU28" s="2">
        <f t="shared" si="18"/>
        <v>0.8930208666013093</v>
      </c>
      <c r="AV28" s="2">
        <f t="shared" si="18"/>
        <v>0.8930208666013093</v>
      </c>
      <c r="AW28" s="2">
        <f t="shared" si="18"/>
        <v>0.8930208666013093</v>
      </c>
      <c r="AX28" s="2">
        <f t="shared" si="18"/>
        <v>0.8930208666013093</v>
      </c>
      <c r="AY28" s="2">
        <f t="shared" si="18"/>
        <v>0.8930208666013093</v>
      </c>
      <c r="AZ28" s="2">
        <f t="shared" si="18"/>
        <v>0.8930208666013093</v>
      </c>
      <c r="BA28" s="2">
        <f t="shared" si="18"/>
        <v>0.8930208666013093</v>
      </c>
      <c r="BB28" s="2">
        <f t="shared" si="18"/>
        <v>0.8930208666013093</v>
      </c>
      <c r="BC28" s="2">
        <f t="shared" si="18"/>
        <v>0.8930208666013093</v>
      </c>
      <c r="BD28" s="2">
        <f t="shared" si="18"/>
        <v>0.8930208666013093</v>
      </c>
      <c r="BE28" s="2">
        <f t="shared" si="18"/>
        <v>0.8930208666013093</v>
      </c>
      <c r="BF28" s="2">
        <f t="shared" si="18"/>
        <v>0.8930208666013093</v>
      </c>
      <c r="BG28" s="2">
        <f t="shared" si="18"/>
        <v>0.8930208666013093</v>
      </c>
      <c r="BH28" s="2">
        <f t="shared" si="18"/>
        <v>0.8930208666013093</v>
      </c>
      <c r="BI28" s="2">
        <f t="shared" si="18"/>
        <v>0.8930208666013093</v>
      </c>
      <c r="BJ28" s="2">
        <f t="shared" si="18"/>
        <v>0.8930208666013093</v>
      </c>
      <c r="BK28" s="2">
        <f t="shared" si="18"/>
        <v>0.8930208666013093</v>
      </c>
      <c r="BL28" s="2">
        <f t="shared" si="18"/>
        <v>0.8930208666013093</v>
      </c>
    </row>
    <row r="29" spans="1:70" ht="15" x14ac:dyDescent="0.35">
      <c r="B29" s="3" t="str">
        <f t="shared" si="16"/>
        <v xml:space="preserve">BEIS Existing policies </v>
      </c>
      <c r="D29" s="2">
        <v>1</v>
      </c>
      <c r="E29" s="2">
        <f t="shared" si="14"/>
        <v>0.98389538838380075</v>
      </c>
      <c r="F29" s="2">
        <f t="shared" si="18"/>
        <v>1.0024524367643968</v>
      </c>
      <c r="G29" s="2">
        <f t="shared" si="18"/>
        <v>1.0259734231906183</v>
      </c>
      <c r="H29" s="2">
        <f t="shared" si="18"/>
        <v>1.0239167175089465</v>
      </c>
      <c r="I29" s="2">
        <f t="shared" si="18"/>
        <v>1.0213366389891747</v>
      </c>
      <c r="J29" s="2">
        <f t="shared" si="18"/>
        <v>1.0284567794026558</v>
      </c>
      <c r="K29" s="2">
        <f t="shared" si="18"/>
        <v>1.053680069819996</v>
      </c>
      <c r="L29" s="2">
        <f t="shared" si="18"/>
        <v>1.0198320489938326</v>
      </c>
      <c r="M29" s="2">
        <f t="shared" si="18"/>
        <v>1.0038678728989123</v>
      </c>
      <c r="N29" s="2">
        <f t="shared" si="18"/>
        <v>1.017005510792689</v>
      </c>
      <c r="O29" s="2">
        <f t="shared" si="18"/>
        <v>0.9956808258466695</v>
      </c>
      <c r="P29" s="2">
        <f t="shared" si="18"/>
        <v>0.98550914945235224</v>
      </c>
      <c r="Q29" s="2">
        <f t="shared" si="18"/>
        <v>0.96781465964399482</v>
      </c>
      <c r="R29" s="2">
        <f t="shared" si="18"/>
        <v>0.939751965384518</v>
      </c>
      <c r="S29" s="2">
        <f t="shared" si="18"/>
        <v>0.90820049741317854</v>
      </c>
      <c r="T29" s="2">
        <f t="shared" si="18"/>
        <v>0.88402199766960798</v>
      </c>
      <c r="U29" s="2">
        <f t="shared" si="18"/>
        <v>0.88402199766960798</v>
      </c>
      <c r="V29" s="2">
        <f t="shared" si="18"/>
        <v>0.88402199766960798</v>
      </c>
      <c r="W29" s="2">
        <f t="shared" si="18"/>
        <v>0.88402199766960798</v>
      </c>
      <c r="X29" s="2">
        <f t="shared" si="18"/>
        <v>0.88402199766960798</v>
      </c>
      <c r="Y29" s="2">
        <f t="shared" si="18"/>
        <v>0.88402199766960798</v>
      </c>
      <c r="Z29" s="2">
        <f t="shared" si="18"/>
        <v>0.88402199766960798</v>
      </c>
      <c r="AA29" s="2">
        <f t="shared" si="18"/>
        <v>0.88402199766960798</v>
      </c>
      <c r="AB29" s="2">
        <f t="shared" si="18"/>
        <v>0.88402199766960798</v>
      </c>
      <c r="AC29" s="2">
        <f t="shared" si="18"/>
        <v>0.88402199766960798</v>
      </c>
      <c r="AD29" s="2">
        <f t="shared" si="18"/>
        <v>0.88402199766960798</v>
      </c>
      <c r="AE29" s="2">
        <f t="shared" si="18"/>
        <v>0.88402199766960798</v>
      </c>
      <c r="AF29" s="2">
        <f t="shared" si="18"/>
        <v>0.88402199766960798</v>
      </c>
      <c r="AG29" s="2">
        <f t="shared" si="18"/>
        <v>0.88402199766960798</v>
      </c>
      <c r="AH29" s="2">
        <f t="shared" si="18"/>
        <v>0.88402199766960798</v>
      </c>
      <c r="AI29" s="2">
        <f t="shared" si="18"/>
        <v>0.88402199766960798</v>
      </c>
      <c r="AJ29" s="2">
        <f t="shared" si="18"/>
        <v>0.88402199766960798</v>
      </c>
      <c r="AK29" s="2">
        <f t="shared" si="18"/>
        <v>0.88402199766960798</v>
      </c>
      <c r="AL29" s="2">
        <f t="shared" si="18"/>
        <v>0.88402199766960798</v>
      </c>
      <c r="AM29" s="2">
        <f t="shared" si="18"/>
        <v>0.88402199766960798</v>
      </c>
      <c r="AN29" s="2">
        <f t="shared" si="18"/>
        <v>0.88402199766960798</v>
      </c>
      <c r="AO29" s="2">
        <f t="shared" si="18"/>
        <v>0.88402199766960798</v>
      </c>
      <c r="AP29" s="2">
        <f t="shared" si="18"/>
        <v>0.88402199766960798</v>
      </c>
      <c r="AQ29" s="2">
        <f t="shared" si="18"/>
        <v>0.88402199766960798</v>
      </c>
      <c r="AR29" s="2">
        <f t="shared" si="18"/>
        <v>0.88402199766960798</v>
      </c>
      <c r="AS29" s="2">
        <f t="shared" si="18"/>
        <v>0.88402199766960798</v>
      </c>
      <c r="AT29" s="2">
        <f t="shared" si="18"/>
        <v>0.88402199766960798</v>
      </c>
      <c r="AU29" s="2">
        <f t="shared" si="18"/>
        <v>0.88402199766960798</v>
      </c>
      <c r="AV29" s="2">
        <f t="shared" si="18"/>
        <v>0.88402199766960798</v>
      </c>
      <c r="AW29" s="2">
        <f t="shared" si="18"/>
        <v>0.88402199766960798</v>
      </c>
      <c r="AX29" s="2">
        <f t="shared" si="18"/>
        <v>0.88402199766960798</v>
      </c>
      <c r="AY29" s="2">
        <f t="shared" si="18"/>
        <v>0.88402199766960798</v>
      </c>
      <c r="AZ29" s="2">
        <f t="shared" si="18"/>
        <v>0.88402199766960798</v>
      </c>
      <c r="BA29" s="2">
        <f t="shared" si="18"/>
        <v>0.88402199766960798</v>
      </c>
      <c r="BB29" s="2">
        <f t="shared" si="18"/>
        <v>0.88402199766960798</v>
      </c>
      <c r="BC29" s="2">
        <f t="shared" si="18"/>
        <v>0.88402199766960798</v>
      </c>
      <c r="BD29" s="2">
        <f t="shared" si="18"/>
        <v>0.88402199766960798</v>
      </c>
      <c r="BE29" s="2">
        <f t="shared" si="18"/>
        <v>0.88402199766960798</v>
      </c>
      <c r="BF29" s="2">
        <f t="shared" si="18"/>
        <v>0.88402199766960798</v>
      </c>
      <c r="BG29" s="2">
        <f t="shared" si="18"/>
        <v>0.88402199766960798</v>
      </c>
      <c r="BH29" s="2">
        <f t="shared" si="18"/>
        <v>0.88402199766960798</v>
      </c>
      <c r="BI29" s="2">
        <f t="shared" si="18"/>
        <v>0.88402199766960798</v>
      </c>
      <c r="BJ29" s="2">
        <f t="shared" si="18"/>
        <v>0.88402199766960798</v>
      </c>
      <c r="BK29" s="2">
        <f t="shared" si="18"/>
        <v>0.88402199766960798</v>
      </c>
      <c r="BL29" s="2">
        <f t="shared" si="18"/>
        <v>0.88402199766960798</v>
      </c>
    </row>
    <row r="30" spans="1:70" ht="15" x14ac:dyDescent="0.35">
      <c r="B30" s="3" t="str">
        <f t="shared" si="16"/>
        <v>BEIS Baseline</v>
      </c>
      <c r="D30" s="2">
        <v>1</v>
      </c>
      <c r="E30" s="2">
        <f t="shared" si="14"/>
        <v>1.020070965790123</v>
      </c>
      <c r="F30" s="2">
        <f t="shared" si="18"/>
        <v>1.0044885913142187</v>
      </c>
      <c r="G30" s="2">
        <f t="shared" si="18"/>
        <v>1.0415786048294442</v>
      </c>
      <c r="H30" s="2">
        <f t="shared" si="18"/>
        <v>1.0397439795691443</v>
      </c>
      <c r="I30" s="2">
        <f t="shared" si="18"/>
        <v>1.0506164746582307</v>
      </c>
      <c r="J30" s="2">
        <f t="shared" si="18"/>
        <v>1.0613815121317893</v>
      </c>
      <c r="K30" s="2">
        <f t="shared" si="18"/>
        <v>1.0843092312779103</v>
      </c>
      <c r="L30" s="2">
        <f t="shared" si="18"/>
        <v>1.0550465326807357</v>
      </c>
      <c r="M30" s="2">
        <f t="shared" si="18"/>
        <v>1.0637879596135182</v>
      </c>
      <c r="N30" s="2">
        <f t="shared" si="18"/>
        <v>1.095682196081661</v>
      </c>
      <c r="O30" s="2">
        <f t="shared" si="18"/>
        <v>1.0998989820663574</v>
      </c>
      <c r="P30" s="2">
        <f t="shared" si="18"/>
        <v>1.0948787468121419</v>
      </c>
      <c r="Q30" s="2">
        <f t="shared" si="18"/>
        <v>1.0888437223569443</v>
      </c>
      <c r="R30" s="2">
        <f t="shared" si="18"/>
        <v>1.0701943728281456</v>
      </c>
      <c r="S30" s="2">
        <f t="shared" si="18"/>
        <v>1.0509183707889664</v>
      </c>
      <c r="T30" s="2">
        <f t="shared" si="18"/>
        <v>1.034752924537865</v>
      </c>
      <c r="U30" s="2">
        <f t="shared" si="18"/>
        <v>1.034752924537865</v>
      </c>
      <c r="V30" s="2">
        <f t="shared" si="18"/>
        <v>1.034752924537865</v>
      </c>
      <c r="W30" s="2">
        <f t="shared" si="18"/>
        <v>1.034752924537865</v>
      </c>
      <c r="X30" s="2">
        <f t="shared" si="18"/>
        <v>1.034752924537865</v>
      </c>
      <c r="Y30" s="2">
        <f t="shared" si="18"/>
        <v>1.034752924537865</v>
      </c>
      <c r="Z30" s="2">
        <f t="shared" si="18"/>
        <v>1.034752924537865</v>
      </c>
      <c r="AA30" s="2">
        <f t="shared" si="18"/>
        <v>1.034752924537865</v>
      </c>
      <c r="AB30" s="2">
        <f t="shared" si="18"/>
        <v>1.034752924537865</v>
      </c>
      <c r="AC30" s="2">
        <f t="shared" si="18"/>
        <v>1.034752924537865</v>
      </c>
      <c r="AD30" s="2">
        <f t="shared" si="18"/>
        <v>1.034752924537865</v>
      </c>
      <c r="AE30" s="2">
        <f t="shared" si="18"/>
        <v>1.034752924537865</v>
      </c>
      <c r="AF30" s="2">
        <f t="shared" si="18"/>
        <v>1.034752924537865</v>
      </c>
      <c r="AG30" s="2">
        <f t="shared" si="18"/>
        <v>1.034752924537865</v>
      </c>
      <c r="AH30" s="2">
        <f t="shared" si="18"/>
        <v>1.034752924537865</v>
      </c>
      <c r="AI30" s="2">
        <f t="shared" si="18"/>
        <v>1.034752924537865</v>
      </c>
      <c r="AJ30" s="2">
        <f t="shared" si="18"/>
        <v>1.034752924537865</v>
      </c>
      <c r="AK30" s="2">
        <f t="shared" si="18"/>
        <v>1.034752924537865</v>
      </c>
      <c r="AL30" s="2">
        <f t="shared" si="18"/>
        <v>1.034752924537865</v>
      </c>
      <c r="AM30" s="2">
        <f t="shared" si="18"/>
        <v>1.034752924537865</v>
      </c>
      <c r="AN30" s="2">
        <f t="shared" si="18"/>
        <v>1.034752924537865</v>
      </c>
      <c r="AO30" s="2">
        <f t="shared" si="18"/>
        <v>1.034752924537865</v>
      </c>
      <c r="AP30" s="2">
        <f t="shared" si="18"/>
        <v>1.034752924537865</v>
      </c>
      <c r="AQ30" s="2">
        <f t="shared" si="18"/>
        <v>1.034752924537865</v>
      </c>
      <c r="AR30" s="2">
        <f t="shared" si="18"/>
        <v>1.034752924537865</v>
      </c>
      <c r="AS30" s="2">
        <f t="shared" si="18"/>
        <v>1.034752924537865</v>
      </c>
      <c r="AT30" s="2">
        <f t="shared" si="18"/>
        <v>1.034752924537865</v>
      </c>
      <c r="AU30" s="2">
        <f t="shared" si="18"/>
        <v>1.034752924537865</v>
      </c>
      <c r="AV30" s="2">
        <f t="shared" si="18"/>
        <v>1.034752924537865</v>
      </c>
      <c r="AW30" s="2">
        <f t="shared" si="18"/>
        <v>1.034752924537865</v>
      </c>
      <c r="AX30" s="2">
        <f t="shared" si="18"/>
        <v>1.034752924537865</v>
      </c>
      <c r="AY30" s="2">
        <f t="shared" si="18"/>
        <v>1.034752924537865</v>
      </c>
      <c r="AZ30" s="2">
        <f t="shared" si="18"/>
        <v>1.034752924537865</v>
      </c>
      <c r="BA30" s="2">
        <f t="shared" si="18"/>
        <v>1.034752924537865</v>
      </c>
      <c r="BB30" s="2">
        <f t="shared" si="18"/>
        <v>1.034752924537865</v>
      </c>
      <c r="BC30" s="2">
        <f t="shared" si="18"/>
        <v>1.034752924537865</v>
      </c>
      <c r="BD30" s="2">
        <f t="shared" si="18"/>
        <v>1.034752924537865</v>
      </c>
      <c r="BE30" s="2">
        <f t="shared" si="18"/>
        <v>1.034752924537865</v>
      </c>
      <c r="BF30" s="2">
        <f t="shared" si="18"/>
        <v>1.034752924537865</v>
      </c>
      <c r="BG30" s="2">
        <f t="shared" si="18"/>
        <v>1.034752924537865</v>
      </c>
      <c r="BH30" s="2">
        <f t="shared" si="18"/>
        <v>1.034752924537865</v>
      </c>
      <c r="BI30" s="2">
        <f t="shared" si="18"/>
        <v>1.034752924537865</v>
      </c>
      <c r="BJ30" s="2">
        <f t="shared" si="18"/>
        <v>1.034752924537865</v>
      </c>
      <c r="BK30" s="2">
        <f t="shared" si="18"/>
        <v>1.034752924537865</v>
      </c>
      <c r="BL30" s="2">
        <f t="shared" si="18"/>
        <v>1.034752924537865</v>
      </c>
    </row>
    <row r="31" spans="1:70" s="69" customFormat="1" x14ac:dyDescent="0.25">
      <c r="A31" s="68" t="s">
        <v>208</v>
      </c>
      <c r="B31" s="69" t="str">
        <f>INDEX(B23:B30,MATCH('Revenue sensitivities'!$D$10,'Price indexing'!$B$23:$B$30,0))</f>
        <v>None</v>
      </c>
      <c r="D31" s="70">
        <f>INDEX(D23:D30,MATCH($B$31,'Price indexing'!$B$23:$B$30,0))</f>
        <v>1</v>
      </c>
      <c r="E31" s="70">
        <f>INDEX(E23:E30,MATCH($B$31,'Price indexing'!$B$23:$B$30,0))</f>
        <v>1</v>
      </c>
      <c r="F31" s="70">
        <f>INDEX(F23:F30,MATCH($B$31,'Price indexing'!$B$23:$B$30,0))</f>
        <v>1</v>
      </c>
      <c r="G31" s="70">
        <f>INDEX(G23:G30,MATCH($B$31,'Price indexing'!$B$23:$B$30,0))</f>
        <v>1</v>
      </c>
      <c r="H31" s="70">
        <f>INDEX(H23:H30,MATCH($B$31,'Price indexing'!$B$23:$B$30,0))</f>
        <v>1</v>
      </c>
      <c r="I31" s="70">
        <f>INDEX(I23:I30,MATCH($B$31,'Price indexing'!$B$23:$B$30,0))</f>
        <v>1</v>
      </c>
      <c r="J31" s="70">
        <f>INDEX(J23:J30,MATCH($B$31,'Price indexing'!$B$23:$B$30,0))</f>
        <v>1</v>
      </c>
      <c r="K31" s="70">
        <f>INDEX(K23:K30,MATCH($B$31,'Price indexing'!$B$23:$B$30,0))</f>
        <v>1</v>
      </c>
      <c r="L31" s="70">
        <f>INDEX(L23:L30,MATCH($B$31,'Price indexing'!$B$23:$B$30,0))</f>
        <v>1</v>
      </c>
      <c r="M31" s="70">
        <f>INDEX(M23:M30,MATCH($B$31,'Price indexing'!$B$23:$B$30,0))</f>
        <v>1</v>
      </c>
      <c r="N31" s="70">
        <f>INDEX(N23:N30,MATCH($B$31,'Price indexing'!$B$23:$B$30,0))</f>
        <v>1</v>
      </c>
      <c r="O31" s="70">
        <f>INDEX(O23:O30,MATCH($B$31,'Price indexing'!$B$23:$B$30,0))</f>
        <v>1</v>
      </c>
      <c r="P31" s="70">
        <f>INDEX(P23:P30,MATCH($B$31,'Price indexing'!$B$23:$B$30,0))</f>
        <v>1</v>
      </c>
      <c r="Q31" s="70">
        <f>INDEX(Q23:Q30,MATCH($B$31,'Price indexing'!$B$23:$B$30,0))</f>
        <v>1</v>
      </c>
      <c r="R31" s="70">
        <f>INDEX(R23:R30,MATCH($B$31,'Price indexing'!$B$23:$B$30,0))</f>
        <v>1</v>
      </c>
      <c r="S31" s="70">
        <f>INDEX(S23:S30,MATCH($B$31,'Price indexing'!$B$23:$B$30,0))</f>
        <v>1</v>
      </c>
      <c r="T31" s="70">
        <f>INDEX(T23:T30,MATCH($B$31,'Price indexing'!$B$23:$B$30,0))</f>
        <v>1</v>
      </c>
      <c r="U31" s="70">
        <f>INDEX(U23:U30,MATCH($B$31,'Price indexing'!$B$23:$B$30,0))</f>
        <v>1</v>
      </c>
      <c r="V31" s="70">
        <f>INDEX(V23:V30,MATCH($B$31,'Price indexing'!$B$23:$B$30,0))</f>
        <v>1</v>
      </c>
      <c r="W31" s="70">
        <f>INDEX(W23:W30,MATCH($B$31,'Price indexing'!$B$23:$B$30,0))</f>
        <v>1</v>
      </c>
      <c r="X31" s="70">
        <f>INDEX(X23:X30,MATCH($B$31,'Price indexing'!$B$23:$B$30,0))</f>
        <v>1</v>
      </c>
      <c r="Y31" s="70">
        <f>INDEX(Y23:Y30,MATCH($B$31,'Price indexing'!$B$23:$B$30,0))</f>
        <v>1</v>
      </c>
      <c r="Z31" s="70">
        <f>INDEX(Z23:Z30,MATCH($B$31,'Price indexing'!$B$23:$B$30,0))</f>
        <v>1</v>
      </c>
      <c r="AA31" s="70">
        <f>INDEX(AA23:AA30,MATCH($B$31,'Price indexing'!$B$23:$B$30,0))</f>
        <v>1</v>
      </c>
      <c r="AB31" s="70">
        <f>INDEX(AB23:AB30,MATCH($B$31,'Price indexing'!$B$23:$B$30,0))</f>
        <v>1</v>
      </c>
      <c r="AC31" s="70">
        <f>INDEX(AC23:AC30,MATCH($B$31,'Price indexing'!$B$23:$B$30,0))</f>
        <v>1</v>
      </c>
      <c r="AD31" s="70">
        <f>INDEX(AD23:AD30,MATCH($B$31,'Price indexing'!$B$23:$B$30,0))</f>
        <v>1</v>
      </c>
      <c r="AE31" s="70">
        <f>INDEX(AE23:AE30,MATCH($B$31,'Price indexing'!$B$23:$B$30,0))</f>
        <v>1</v>
      </c>
      <c r="AF31" s="70">
        <f>INDEX(AF23:AF30,MATCH($B$31,'Price indexing'!$B$23:$B$30,0))</f>
        <v>1</v>
      </c>
      <c r="AG31" s="70">
        <f>INDEX(AG23:AG30,MATCH($B$31,'Price indexing'!$B$23:$B$30,0))</f>
        <v>1</v>
      </c>
      <c r="AH31" s="70">
        <f>INDEX(AH23:AH30,MATCH($B$31,'Price indexing'!$B$23:$B$30,0))</f>
        <v>1</v>
      </c>
      <c r="AI31" s="70">
        <f>INDEX(AI23:AI30,MATCH($B$31,'Price indexing'!$B$23:$B$30,0))</f>
        <v>1</v>
      </c>
      <c r="AJ31" s="70">
        <f>INDEX(AJ23:AJ30,MATCH($B$31,'Price indexing'!$B$23:$B$30,0))</f>
        <v>1</v>
      </c>
      <c r="AK31" s="70">
        <f>INDEX(AK23:AK30,MATCH($B$31,'Price indexing'!$B$23:$B$30,0))</f>
        <v>1</v>
      </c>
      <c r="AL31" s="70">
        <f>INDEX(AL23:AL30,MATCH($B$31,'Price indexing'!$B$23:$B$30,0))</f>
        <v>1</v>
      </c>
      <c r="AM31" s="70">
        <f>INDEX(AM23:AM30,MATCH($B$31,'Price indexing'!$B$23:$B$30,0))</f>
        <v>1</v>
      </c>
      <c r="AN31" s="70">
        <f>INDEX(AN23:AN30,MATCH($B$31,'Price indexing'!$B$23:$B$30,0))</f>
        <v>1</v>
      </c>
      <c r="AO31" s="70">
        <f>INDEX(AO23:AO30,MATCH($B$31,'Price indexing'!$B$23:$B$30,0))</f>
        <v>1</v>
      </c>
      <c r="AP31" s="70">
        <f>INDEX(AP23:AP30,MATCH($B$31,'Price indexing'!$B$23:$B$30,0))</f>
        <v>1</v>
      </c>
      <c r="AQ31" s="70">
        <f>INDEX(AQ23:AQ30,MATCH($B$31,'Price indexing'!$B$23:$B$30,0))</f>
        <v>1</v>
      </c>
      <c r="AR31" s="70">
        <f>INDEX(AR23:AR30,MATCH($B$31,'Price indexing'!$B$23:$B$30,0))</f>
        <v>1</v>
      </c>
      <c r="AS31" s="70">
        <f>INDEX(AS23:AS30,MATCH($B$31,'Price indexing'!$B$23:$B$30,0))</f>
        <v>1</v>
      </c>
      <c r="AT31" s="70">
        <f>INDEX(AT23:AT30,MATCH($B$31,'Price indexing'!$B$23:$B$30,0))</f>
        <v>1</v>
      </c>
      <c r="AU31" s="70">
        <f>INDEX(AU23:AU30,MATCH($B$31,'Price indexing'!$B$23:$B$30,0))</f>
        <v>1</v>
      </c>
      <c r="AV31" s="70">
        <f>INDEX(AV23:AV30,MATCH($B$31,'Price indexing'!$B$23:$B$30,0))</f>
        <v>1</v>
      </c>
      <c r="AW31" s="70">
        <f>INDEX(AW23:AW30,MATCH($B$31,'Price indexing'!$B$23:$B$30,0))</f>
        <v>1</v>
      </c>
      <c r="AX31" s="70">
        <f>INDEX(AX23:AX30,MATCH($B$31,'Price indexing'!$B$23:$B$30,0))</f>
        <v>1</v>
      </c>
      <c r="AY31" s="70">
        <f>INDEX(AY23:AY30,MATCH($B$31,'Price indexing'!$B$23:$B$30,0))</f>
        <v>1</v>
      </c>
      <c r="AZ31" s="70">
        <f>INDEX(AZ23:AZ30,MATCH($B$31,'Price indexing'!$B$23:$B$30,0))</f>
        <v>1</v>
      </c>
      <c r="BA31" s="70">
        <f>INDEX(BA23:BA30,MATCH($B$31,'Price indexing'!$B$23:$B$30,0))</f>
        <v>1</v>
      </c>
      <c r="BB31" s="70">
        <f>INDEX(BB23:BB30,MATCH($B$31,'Price indexing'!$B$23:$B$30,0))</f>
        <v>1</v>
      </c>
      <c r="BC31" s="70">
        <f>INDEX(BC23:BC30,MATCH($B$31,'Price indexing'!$B$23:$B$30,0))</f>
        <v>1</v>
      </c>
      <c r="BD31" s="70">
        <f>INDEX(BD23:BD30,MATCH($B$31,'Price indexing'!$B$23:$B$30,0))</f>
        <v>1</v>
      </c>
      <c r="BE31" s="70">
        <f>INDEX(BE23:BE30,MATCH($B$31,'Price indexing'!$B$23:$B$30,0))</f>
        <v>1</v>
      </c>
      <c r="BF31" s="70">
        <f>INDEX(BF23:BF30,MATCH($B$31,'Price indexing'!$B$23:$B$30,0))</f>
        <v>1</v>
      </c>
      <c r="BG31" s="70">
        <f>INDEX(BG23:BG30,MATCH($B$31,'Price indexing'!$B$23:$B$30,0))</f>
        <v>1</v>
      </c>
      <c r="BH31" s="70">
        <f>INDEX(BH23:BH30,MATCH($B$31,'Price indexing'!$B$23:$B$30,0))</f>
        <v>1</v>
      </c>
      <c r="BI31" s="70">
        <f>INDEX(BI23:BI30,MATCH($B$31,'Price indexing'!$B$23:$B$30,0))</f>
        <v>1</v>
      </c>
      <c r="BJ31" s="70">
        <f>INDEX(BJ23:BJ30,MATCH($B$31,'Price indexing'!$B$23:$B$30,0))</f>
        <v>1</v>
      </c>
      <c r="BK31" s="70">
        <f>INDEX(BK23:BK30,MATCH($B$31,'Price indexing'!$B$23:$B$30,0))</f>
        <v>1</v>
      </c>
      <c r="BL31" s="70">
        <f>INDEX(BL23:BL30,MATCH($B$31,'Price indexing'!$B$23:$B$30,0))</f>
        <v>1</v>
      </c>
    </row>
    <row r="32" spans="1:70" ht="15" x14ac:dyDescent="0.35">
      <c r="B32" s="3"/>
    </row>
    <row r="33" spans="2:39" ht="15" x14ac:dyDescent="0.35">
      <c r="B33" s="3"/>
      <c r="E33" s="108">
        <v>2001</v>
      </c>
      <c r="F33" s="108">
        <v>2002</v>
      </c>
      <c r="G33" s="108">
        <v>2003</v>
      </c>
      <c r="H33" s="108">
        <v>2004</v>
      </c>
      <c r="I33" s="108">
        <v>2005</v>
      </c>
      <c r="J33" s="108">
        <v>2006</v>
      </c>
      <c r="K33" s="108">
        <v>2007</v>
      </c>
      <c r="L33" s="108">
        <v>2008</v>
      </c>
      <c r="M33" s="108">
        <v>2009</v>
      </c>
      <c r="N33" s="108">
        <v>2010</v>
      </c>
      <c r="O33" s="108">
        <v>2011</v>
      </c>
      <c r="P33" s="108">
        <v>2012</v>
      </c>
      <c r="Q33" s="108">
        <v>2013</v>
      </c>
      <c r="R33" s="108">
        <v>2014</v>
      </c>
      <c r="S33" s="108">
        <v>2015</v>
      </c>
      <c r="T33" s="108">
        <v>2016</v>
      </c>
      <c r="U33" s="108">
        <v>2017</v>
      </c>
      <c r="V33" s="108">
        <v>2018</v>
      </c>
      <c r="W33" s="108">
        <v>2019</v>
      </c>
      <c r="X33" s="108">
        <v>2020</v>
      </c>
      <c r="Y33" s="108">
        <v>2021</v>
      </c>
      <c r="Z33" s="108">
        <v>2022</v>
      </c>
      <c r="AA33" s="108">
        <v>2023</v>
      </c>
      <c r="AB33" s="108">
        <v>2024</v>
      </c>
      <c r="AC33" s="108">
        <v>2025</v>
      </c>
      <c r="AD33" s="108">
        <v>2026</v>
      </c>
      <c r="AE33" s="108">
        <v>2027</v>
      </c>
      <c r="AF33" s="108">
        <v>2028</v>
      </c>
      <c r="AG33" s="108">
        <v>2029</v>
      </c>
      <c r="AH33" s="108">
        <v>2030</v>
      </c>
      <c r="AI33" s="108">
        <v>2031</v>
      </c>
      <c r="AJ33" s="108">
        <v>2032</v>
      </c>
      <c r="AK33" s="108">
        <v>2033</v>
      </c>
      <c r="AL33" s="108">
        <v>2034</v>
      </c>
      <c r="AM33" s="108">
        <v>2035</v>
      </c>
    </row>
    <row r="34" spans="2:39" x14ac:dyDescent="0.25">
      <c r="E34" s="107">
        <v>4.7884368999999998</v>
      </c>
      <c r="F34" s="107">
        <v>4.4037549</v>
      </c>
      <c r="G34" s="107">
        <v>4.8634855000000003</v>
      </c>
      <c r="H34" s="107">
        <v>5.2683416999999997</v>
      </c>
      <c r="I34" s="107">
        <v>6.6197357999999999</v>
      </c>
      <c r="J34" s="107">
        <v>8.4394539999999996</v>
      </c>
      <c r="K34" s="107">
        <v>8.5845778999999993</v>
      </c>
      <c r="L34" s="107">
        <v>9.4680408000000007</v>
      </c>
      <c r="M34" s="107">
        <v>10.366798899999999</v>
      </c>
      <c r="N34" s="107">
        <v>9.0189904999999992</v>
      </c>
      <c r="O34" s="107">
        <v>9.2620801999999998</v>
      </c>
      <c r="P34" s="107">
        <v>9.9011133999999998</v>
      </c>
      <c r="Q34" s="107">
        <v>10.437253500000001</v>
      </c>
      <c r="R34" s="107">
        <v>10.789718000000001</v>
      </c>
      <c r="S34" s="107">
        <v>11.161652500000001</v>
      </c>
      <c r="T34" s="107">
        <v>10.74897801</v>
      </c>
      <c r="U34" s="107">
        <v>11.087910600000001</v>
      </c>
      <c r="V34" s="107">
        <v>11.943882800000001</v>
      </c>
      <c r="W34" s="107">
        <v>13.6637971</v>
      </c>
    </row>
    <row r="35" spans="2:39" x14ac:dyDescent="0.25">
      <c r="E35" s="107">
        <v>4.7884431999999997</v>
      </c>
      <c r="F35" s="107">
        <v>4.4037676000000001</v>
      </c>
      <c r="G35" s="107">
        <v>4.8634917</v>
      </c>
      <c r="H35" s="107">
        <v>5.2683416999999997</v>
      </c>
      <c r="I35" s="107">
        <v>6.6197357999999999</v>
      </c>
      <c r="J35" s="107">
        <v>8.4394539999999996</v>
      </c>
      <c r="K35" s="107">
        <v>8.5845778999999993</v>
      </c>
      <c r="L35" s="107">
        <v>9.4680408000000007</v>
      </c>
      <c r="M35" s="107">
        <v>10.366798899999999</v>
      </c>
      <c r="N35" s="107">
        <v>9.0189904999999992</v>
      </c>
      <c r="O35" s="107">
        <v>9.2620801999999998</v>
      </c>
      <c r="P35" s="107">
        <v>9.9011133999999998</v>
      </c>
      <c r="Q35" s="107">
        <v>10.437253500000001</v>
      </c>
      <c r="R35" s="107">
        <v>10.789718000000001</v>
      </c>
      <c r="S35" s="107">
        <v>11.161652500000001</v>
      </c>
      <c r="T35" s="107">
        <v>10.74897801</v>
      </c>
      <c r="U35" s="107">
        <v>11.087910600000001</v>
      </c>
      <c r="V35" s="107">
        <v>11.943882800000001</v>
      </c>
      <c r="W35" s="107">
        <v>13.141700800000001</v>
      </c>
    </row>
    <row r="36" spans="2:39" x14ac:dyDescent="0.25">
      <c r="E36" s="107">
        <v>4.7884279999999997</v>
      </c>
      <c r="F36" s="107">
        <v>4.4037369000000002</v>
      </c>
      <c r="G36" s="107">
        <v>4.8634766999999997</v>
      </c>
      <c r="H36" s="107">
        <v>5.2683416999999997</v>
      </c>
      <c r="I36" s="107">
        <v>6.6197357999999999</v>
      </c>
      <c r="J36" s="107">
        <v>8.4394539999999996</v>
      </c>
      <c r="K36" s="107">
        <v>8.5845778999999993</v>
      </c>
      <c r="L36" s="107">
        <v>9.4680408000000007</v>
      </c>
      <c r="M36" s="107">
        <v>10.366798899999999</v>
      </c>
      <c r="N36" s="107">
        <v>9.0189904999999992</v>
      </c>
      <c r="O36" s="107">
        <v>9.2620801999999998</v>
      </c>
      <c r="P36" s="107">
        <v>9.9011133999999998</v>
      </c>
      <c r="Q36" s="107">
        <v>10.437253500000001</v>
      </c>
      <c r="R36" s="107">
        <v>10.789718000000001</v>
      </c>
      <c r="S36" s="107">
        <v>11.161652500000001</v>
      </c>
      <c r="T36" s="107">
        <v>10.74897801</v>
      </c>
      <c r="U36" s="107">
        <v>11.087910600000001</v>
      </c>
      <c r="V36" s="107">
        <v>11.943882800000001</v>
      </c>
      <c r="W36" s="107">
        <v>14.3745151</v>
      </c>
    </row>
    <row r="37" spans="2:39" x14ac:dyDescent="0.25">
      <c r="E37" s="107">
        <v>4.7884368000000004</v>
      </c>
      <c r="F37" s="107">
        <v>4.4037547999999997</v>
      </c>
      <c r="G37" s="107">
        <v>4.8634854000000001</v>
      </c>
      <c r="H37" s="107">
        <v>5.2683416999999997</v>
      </c>
      <c r="I37" s="107">
        <v>6.6197357999999999</v>
      </c>
      <c r="J37" s="107">
        <v>8.4394539999999996</v>
      </c>
      <c r="K37" s="107">
        <v>8.5845778999999993</v>
      </c>
      <c r="L37" s="107">
        <v>9.4680408000000007</v>
      </c>
      <c r="M37" s="107">
        <v>10.366798899999999</v>
      </c>
      <c r="N37" s="107">
        <v>9.0189904999999992</v>
      </c>
      <c r="O37" s="107">
        <v>9.2620801999999998</v>
      </c>
      <c r="P37" s="107">
        <v>9.9011133999999998</v>
      </c>
      <c r="Q37" s="107">
        <v>10.437253500000001</v>
      </c>
      <c r="R37" s="107">
        <v>10.789718000000001</v>
      </c>
      <c r="S37" s="107">
        <v>11.161652500000001</v>
      </c>
      <c r="T37" s="107">
        <v>10.74897801</v>
      </c>
      <c r="U37" s="107">
        <v>11.087910600000001</v>
      </c>
      <c r="V37" s="107">
        <v>11.943882800000001</v>
      </c>
      <c r="W37" s="107">
        <v>13.6757498</v>
      </c>
    </row>
    <row r="38" spans="2:39" x14ac:dyDescent="0.25">
      <c r="E38" s="107">
        <v>4.7884368999999998</v>
      </c>
      <c r="F38" s="107">
        <v>4.4037549</v>
      </c>
      <c r="G38" s="107">
        <v>4.8634855000000003</v>
      </c>
      <c r="H38" s="107">
        <v>5.2683416999999997</v>
      </c>
      <c r="I38" s="107">
        <v>6.6197357999999999</v>
      </c>
      <c r="J38" s="107">
        <v>8.4394539999999996</v>
      </c>
      <c r="K38" s="107">
        <v>8.5845778999999993</v>
      </c>
      <c r="L38" s="107">
        <v>9.4680408000000007</v>
      </c>
      <c r="M38" s="107">
        <v>10.366798899999999</v>
      </c>
      <c r="N38" s="107">
        <v>9.0189904999999992</v>
      </c>
      <c r="O38" s="107">
        <v>9.2620801999999998</v>
      </c>
      <c r="P38" s="107">
        <v>9.9011133999999998</v>
      </c>
      <c r="Q38" s="107">
        <v>10.437253500000001</v>
      </c>
      <c r="R38" s="107">
        <v>10.789718000000001</v>
      </c>
      <c r="S38" s="107">
        <v>11.161652500000001</v>
      </c>
      <c r="T38" s="107">
        <v>10.74897801</v>
      </c>
      <c r="U38" s="107">
        <v>11.087910600000001</v>
      </c>
      <c r="V38" s="107">
        <v>11.943882800000001</v>
      </c>
      <c r="W38" s="107">
        <v>13.661109700000001</v>
      </c>
    </row>
    <row r="39" spans="2:39" x14ac:dyDescent="0.25">
      <c r="E39" s="107">
        <v>4.7884368999999998</v>
      </c>
      <c r="F39" s="107">
        <v>4.4037549</v>
      </c>
      <c r="G39" s="107">
        <v>4.8634855000000003</v>
      </c>
      <c r="H39" s="107">
        <v>5.2683416999999997</v>
      </c>
      <c r="I39" s="107">
        <v>6.6197357999999999</v>
      </c>
      <c r="J39" s="107">
        <v>8.4394539999999996</v>
      </c>
      <c r="K39" s="107">
        <v>8.5845778999999993</v>
      </c>
      <c r="L39" s="107">
        <v>9.4680408000000007</v>
      </c>
      <c r="M39" s="107">
        <v>10.366798899999999</v>
      </c>
      <c r="N39" s="107">
        <v>9.0189904999999992</v>
      </c>
      <c r="O39" s="107">
        <v>9.2620801999999998</v>
      </c>
      <c r="P39" s="107">
        <v>9.9011133999999998</v>
      </c>
      <c r="Q39" s="107">
        <v>10.437253500000001</v>
      </c>
      <c r="R39" s="107">
        <v>10.789718000000001</v>
      </c>
      <c r="S39" s="107">
        <v>11.161652500000001</v>
      </c>
      <c r="T39" s="107">
        <v>10.74897801</v>
      </c>
      <c r="U39" s="107">
        <v>11.087910600000001</v>
      </c>
      <c r="V39" s="107">
        <v>11.943882800000001</v>
      </c>
      <c r="W39" s="107">
        <v>13.6657384</v>
      </c>
    </row>
    <row r="40" spans="2:39" x14ac:dyDescent="0.25">
      <c r="E40" s="107">
        <v>4.8210839999999999</v>
      </c>
      <c r="F40" s="107">
        <v>4.4365195999999996</v>
      </c>
      <c r="G40" s="107">
        <v>4.8961310999999998</v>
      </c>
      <c r="H40" s="107">
        <v>5.3008743999999997</v>
      </c>
      <c r="I40" s="107">
        <v>6.6520422000000003</v>
      </c>
      <c r="J40" s="107">
        <v>8.4685243000000003</v>
      </c>
      <c r="K40" s="107">
        <v>8.6128098000000008</v>
      </c>
      <c r="L40" s="107">
        <v>9.5035620000000005</v>
      </c>
      <c r="M40" s="107">
        <v>10.395368100000001</v>
      </c>
      <c r="N40" s="107">
        <v>9.0219634000000006</v>
      </c>
      <c r="O40" s="107">
        <v>9.3034979</v>
      </c>
      <c r="P40" s="107">
        <v>9.7359738999999994</v>
      </c>
      <c r="Q40" s="107">
        <v>10.042169400000001</v>
      </c>
      <c r="R40" s="107">
        <v>10.252678700000001</v>
      </c>
      <c r="S40" s="107">
        <v>10.291236</v>
      </c>
      <c r="T40" s="107">
        <v>9.4991794200000008</v>
      </c>
      <c r="U40" s="107">
        <v>9.3131816999999995</v>
      </c>
      <c r="V40" s="107">
        <v>10.312684900000001</v>
      </c>
      <c r="W40" s="107">
        <v>11.5194297</v>
      </c>
    </row>
  </sheetData>
  <sheetProtection sheet="1" objects="1" scenarios="1"/>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7D02B-68B3-447E-9CE1-9667AE2DF73C}">
  <sheetPr>
    <tabColor theme="0" tint="-0.499984740745262"/>
  </sheetPr>
  <dimension ref="A2:L79"/>
  <sheetViews>
    <sheetView zoomScale="55" zoomScaleNormal="55" workbookViewId="0">
      <selection activeCell="Q46" sqref="Q46"/>
    </sheetView>
  </sheetViews>
  <sheetFormatPr defaultRowHeight="13.2" x14ac:dyDescent="0.25"/>
  <cols>
    <col min="1" max="1" width="5.21875" style="1" bestFit="1" customWidth="1"/>
    <col min="2" max="2" width="13.88671875" style="1" bestFit="1" customWidth="1"/>
    <col min="3" max="3" width="10.77734375" style="1" bestFit="1" customWidth="1"/>
    <col min="4" max="4" width="10.77734375" style="1" customWidth="1"/>
    <col min="5" max="5" width="9.5546875" style="1" bestFit="1" customWidth="1"/>
    <col min="6" max="6" width="22.44140625" style="1" customWidth="1"/>
    <col min="7" max="7" width="8.88671875" style="1" customWidth="1"/>
    <col min="8" max="16384" width="8.88671875" style="1"/>
  </cols>
  <sheetData>
    <row r="2" spans="1:12" x14ac:dyDescent="0.25">
      <c r="A2" s="477" t="s">
        <v>361</v>
      </c>
      <c r="B2" s="477" t="s">
        <v>362</v>
      </c>
      <c r="C2" s="477" t="s">
        <v>363</v>
      </c>
      <c r="D2" s="477"/>
      <c r="E2" s="477" t="s">
        <v>364</v>
      </c>
      <c r="F2" s="477" t="s">
        <v>365</v>
      </c>
    </row>
    <row r="3" spans="1:12" x14ac:dyDescent="0.25">
      <c r="A3" s="1">
        <v>1</v>
      </c>
      <c r="B3" s="478" t="s">
        <v>366</v>
      </c>
      <c r="C3" s="478" t="s">
        <v>367</v>
      </c>
      <c r="D3" s="478"/>
      <c r="E3" s="1">
        <v>977</v>
      </c>
      <c r="F3" s="478" t="str">
        <f>B3&amp;C3</f>
        <v>LondonSouth</v>
      </c>
      <c r="G3" s="478"/>
      <c r="H3" s="1" t="s">
        <v>403</v>
      </c>
    </row>
    <row r="4" spans="1:12" x14ac:dyDescent="0.25">
      <c r="A4" s="1">
        <v>1</v>
      </c>
      <c r="B4" s="478" t="s">
        <v>366</v>
      </c>
      <c r="C4" s="478" t="s">
        <v>368</v>
      </c>
      <c r="D4" s="478"/>
      <c r="E4" s="1">
        <v>925</v>
      </c>
      <c r="F4" s="478" t="str">
        <f t="shared" ref="F4:F67" si="0">B4&amp;C4</f>
        <v>LondonSE or SW</v>
      </c>
      <c r="G4" s="478"/>
      <c r="H4" s="478" t="s">
        <v>366</v>
      </c>
      <c r="I4" s="478" t="s">
        <v>367</v>
      </c>
      <c r="K4" s="1" t="str">
        <f>'Global assumptions'!D11&amp;'Global assumptions'!D12</f>
        <v>BristolSouth</v>
      </c>
      <c r="L4" s="1">
        <f>INDEX(E:E,MATCH(K4,F:F,0))</f>
        <v>964</v>
      </c>
    </row>
    <row r="5" spans="1:12" x14ac:dyDescent="0.25">
      <c r="A5" s="1">
        <v>1</v>
      </c>
      <c r="B5" s="478" t="s">
        <v>366</v>
      </c>
      <c r="C5" s="478" t="s">
        <v>369</v>
      </c>
      <c r="D5" s="478"/>
      <c r="E5" s="1">
        <v>795</v>
      </c>
      <c r="F5" s="478" t="str">
        <f t="shared" si="0"/>
        <v>LondonE or W</v>
      </c>
      <c r="G5" s="478"/>
      <c r="H5" s="478" t="s">
        <v>370</v>
      </c>
      <c r="I5" s="478" t="s">
        <v>368</v>
      </c>
    </row>
    <row r="6" spans="1:12" x14ac:dyDescent="0.25">
      <c r="A6" s="1">
        <v>2</v>
      </c>
      <c r="B6" s="478" t="s">
        <v>370</v>
      </c>
      <c r="C6" s="478" t="s">
        <v>367</v>
      </c>
      <c r="D6" s="478"/>
      <c r="E6" s="1">
        <v>1121</v>
      </c>
      <c r="F6" s="478" t="str">
        <f t="shared" si="0"/>
        <v>BrightonSouth</v>
      </c>
      <c r="G6" s="478"/>
      <c r="H6" s="478" t="s">
        <v>371</v>
      </c>
      <c r="I6" s="478" t="s">
        <v>369</v>
      </c>
    </row>
    <row r="7" spans="1:12" x14ac:dyDescent="0.25">
      <c r="A7" s="1">
        <v>2</v>
      </c>
      <c r="B7" s="478" t="s">
        <v>370</v>
      </c>
      <c r="C7" s="478" t="s">
        <v>368</v>
      </c>
      <c r="D7" s="478"/>
      <c r="E7" s="1">
        <v>1058</v>
      </c>
      <c r="F7" s="478" t="str">
        <f t="shared" si="0"/>
        <v>BrightonSE or SW</v>
      </c>
      <c r="G7" s="478"/>
      <c r="H7" s="478" t="s">
        <v>372</v>
      </c>
    </row>
    <row r="8" spans="1:12" x14ac:dyDescent="0.25">
      <c r="A8" s="1">
        <v>2</v>
      </c>
      <c r="B8" s="478" t="s">
        <v>370</v>
      </c>
      <c r="C8" s="478" t="s">
        <v>369</v>
      </c>
      <c r="D8" s="478"/>
      <c r="E8" s="1">
        <v>896</v>
      </c>
      <c r="F8" s="478" t="str">
        <f t="shared" si="0"/>
        <v>BrightonE or W</v>
      </c>
      <c r="G8" s="478"/>
      <c r="H8" s="478" t="s">
        <v>374</v>
      </c>
    </row>
    <row r="9" spans="1:12" x14ac:dyDescent="0.25">
      <c r="A9" s="1">
        <v>3</v>
      </c>
      <c r="B9" s="478" t="s">
        <v>371</v>
      </c>
      <c r="C9" s="478" t="s">
        <v>367</v>
      </c>
      <c r="D9" s="478"/>
      <c r="E9" s="1">
        <v>1014</v>
      </c>
      <c r="F9" s="478" t="str">
        <f t="shared" si="0"/>
        <v>SouthamptonSouth</v>
      </c>
      <c r="G9" s="478"/>
      <c r="H9" s="478" t="s">
        <v>376</v>
      </c>
    </row>
    <row r="10" spans="1:12" x14ac:dyDescent="0.25">
      <c r="A10" s="1">
        <v>3</v>
      </c>
      <c r="B10" s="478" t="s">
        <v>371</v>
      </c>
      <c r="C10" s="478" t="s">
        <v>368</v>
      </c>
      <c r="D10" s="478"/>
      <c r="E10" s="1">
        <v>960</v>
      </c>
      <c r="F10" s="478" t="str">
        <f t="shared" si="0"/>
        <v>SouthamptonSE or SW</v>
      </c>
      <c r="G10" s="478"/>
      <c r="H10" s="478" t="s">
        <v>377</v>
      </c>
    </row>
    <row r="11" spans="1:12" x14ac:dyDescent="0.25">
      <c r="A11" s="1">
        <v>3</v>
      </c>
      <c r="B11" s="478" t="s">
        <v>371</v>
      </c>
      <c r="C11" s="478" t="s">
        <v>369</v>
      </c>
      <c r="D11" s="478"/>
      <c r="E11" s="1">
        <v>822</v>
      </c>
      <c r="F11" s="478" t="str">
        <f t="shared" si="0"/>
        <v>SouthamptonE or W</v>
      </c>
      <c r="G11" s="478"/>
      <c r="H11" s="478" t="s">
        <v>379</v>
      </c>
    </row>
    <row r="12" spans="1:12" x14ac:dyDescent="0.25">
      <c r="A12" s="1">
        <v>4</v>
      </c>
      <c r="B12" s="478" t="s">
        <v>372</v>
      </c>
      <c r="C12" s="478" t="s">
        <v>367</v>
      </c>
      <c r="D12" s="478"/>
      <c r="E12" s="1">
        <v>1082</v>
      </c>
      <c r="F12" s="478" t="str">
        <f t="shared" si="0"/>
        <v>PlymouthSouth</v>
      </c>
      <c r="G12" s="478"/>
      <c r="H12" s="478" t="s">
        <v>381</v>
      </c>
    </row>
    <row r="13" spans="1:12" x14ac:dyDescent="0.25">
      <c r="A13" s="1">
        <v>4</v>
      </c>
      <c r="B13" s="478" t="s">
        <v>372</v>
      </c>
      <c r="C13" s="478" t="s">
        <v>368</v>
      </c>
      <c r="D13" s="478"/>
      <c r="E13" s="1">
        <v>1025</v>
      </c>
      <c r="F13" s="478" t="str">
        <f t="shared" si="0"/>
        <v>PlymouthSE or SW</v>
      </c>
      <c r="G13" s="478"/>
      <c r="H13" s="478" t="s">
        <v>383</v>
      </c>
    </row>
    <row r="14" spans="1:12" x14ac:dyDescent="0.25">
      <c r="A14" s="1">
        <v>4</v>
      </c>
      <c r="B14" s="478" t="s">
        <v>372</v>
      </c>
      <c r="C14" s="478" t="s">
        <v>369</v>
      </c>
      <c r="D14" s="478"/>
      <c r="E14" s="1">
        <v>874</v>
      </c>
      <c r="F14" s="478" t="str">
        <f t="shared" si="0"/>
        <v>PlymouthE or W</v>
      </c>
      <c r="G14" s="478"/>
      <c r="H14" s="478" t="s">
        <v>385</v>
      </c>
    </row>
    <row r="15" spans="1:12" x14ac:dyDescent="0.25">
      <c r="A15" s="479" t="s">
        <v>373</v>
      </c>
      <c r="B15" s="478" t="s">
        <v>374</v>
      </c>
      <c r="C15" s="478" t="s">
        <v>367</v>
      </c>
      <c r="D15" s="478"/>
      <c r="E15" s="1">
        <v>964</v>
      </c>
      <c r="F15" s="478" t="str">
        <f t="shared" si="0"/>
        <v>BristolSouth</v>
      </c>
      <c r="G15" s="478"/>
      <c r="H15" s="478" t="s">
        <v>387</v>
      </c>
    </row>
    <row r="16" spans="1:12" x14ac:dyDescent="0.25">
      <c r="A16" s="479" t="s">
        <v>373</v>
      </c>
      <c r="B16" s="478" t="s">
        <v>374</v>
      </c>
      <c r="C16" s="478" t="s">
        <v>368</v>
      </c>
      <c r="D16" s="478"/>
      <c r="E16" s="1">
        <v>914</v>
      </c>
      <c r="F16" s="478" t="str">
        <f t="shared" si="0"/>
        <v>BristolSE or SW</v>
      </c>
      <c r="G16" s="478"/>
      <c r="H16" s="478" t="s">
        <v>389</v>
      </c>
    </row>
    <row r="17" spans="1:8" x14ac:dyDescent="0.25">
      <c r="A17" s="479" t="s">
        <v>373</v>
      </c>
      <c r="B17" s="478" t="s">
        <v>374</v>
      </c>
      <c r="C17" s="478" t="s">
        <v>369</v>
      </c>
      <c r="D17" s="478"/>
      <c r="E17" s="1">
        <v>787</v>
      </c>
      <c r="F17" s="478" t="str">
        <f t="shared" si="0"/>
        <v>BristolE or W</v>
      </c>
      <c r="G17" s="478"/>
      <c r="H17" s="478" t="s">
        <v>390</v>
      </c>
    </row>
    <row r="18" spans="1:8" x14ac:dyDescent="0.25">
      <c r="A18" s="479" t="s">
        <v>375</v>
      </c>
      <c r="B18" s="478" t="s">
        <v>376</v>
      </c>
      <c r="C18" s="478" t="s">
        <v>367</v>
      </c>
      <c r="D18" s="478"/>
      <c r="E18" s="1">
        <v>943</v>
      </c>
      <c r="F18" s="478" t="str">
        <f t="shared" si="0"/>
        <v>CardiffSouth</v>
      </c>
      <c r="G18" s="478"/>
      <c r="H18" s="478" t="s">
        <v>391</v>
      </c>
    </row>
    <row r="19" spans="1:8" x14ac:dyDescent="0.25">
      <c r="A19" s="479" t="s">
        <v>375</v>
      </c>
      <c r="B19" s="478" t="s">
        <v>376</v>
      </c>
      <c r="C19" s="478" t="s">
        <v>368</v>
      </c>
      <c r="D19" s="478"/>
      <c r="E19" s="1">
        <v>895</v>
      </c>
      <c r="F19" s="478" t="str">
        <f t="shared" si="0"/>
        <v>CardiffSE or SW</v>
      </c>
      <c r="G19" s="478"/>
      <c r="H19" s="478" t="s">
        <v>392</v>
      </c>
    </row>
    <row r="20" spans="1:8" x14ac:dyDescent="0.25">
      <c r="A20" s="479" t="s">
        <v>375</v>
      </c>
      <c r="B20" s="478" t="s">
        <v>376</v>
      </c>
      <c r="C20" s="478" t="s">
        <v>369</v>
      </c>
      <c r="D20" s="478"/>
      <c r="E20" s="1">
        <v>772</v>
      </c>
      <c r="F20" s="478" t="str">
        <f t="shared" si="0"/>
        <v>CardiffE or W</v>
      </c>
      <c r="G20" s="478"/>
      <c r="H20" s="478" t="s">
        <v>393</v>
      </c>
    </row>
    <row r="21" spans="1:8" x14ac:dyDescent="0.25">
      <c r="A21" s="1">
        <v>6</v>
      </c>
      <c r="B21" s="478" t="s">
        <v>377</v>
      </c>
      <c r="C21" s="478" t="s">
        <v>367</v>
      </c>
      <c r="D21" s="478"/>
      <c r="E21" s="1">
        <v>929</v>
      </c>
      <c r="F21" s="478" t="str">
        <f t="shared" si="0"/>
        <v>BirminghamSouth</v>
      </c>
      <c r="G21" s="478"/>
      <c r="H21" s="478" t="s">
        <v>394</v>
      </c>
    </row>
    <row r="22" spans="1:8" x14ac:dyDescent="0.25">
      <c r="A22" s="1">
        <v>6</v>
      </c>
      <c r="B22" s="478" t="s">
        <v>377</v>
      </c>
      <c r="C22" s="478" t="s">
        <v>368</v>
      </c>
      <c r="D22" s="478"/>
      <c r="E22" s="1">
        <v>881</v>
      </c>
      <c r="F22" s="478" t="str">
        <f t="shared" si="0"/>
        <v>BirminghamSE or SW</v>
      </c>
      <c r="G22" s="478"/>
      <c r="H22" s="478" t="s">
        <v>395</v>
      </c>
    </row>
    <row r="23" spans="1:8" x14ac:dyDescent="0.25">
      <c r="A23" s="1">
        <v>6</v>
      </c>
      <c r="B23" s="478" t="s">
        <v>377</v>
      </c>
      <c r="C23" s="478" t="s">
        <v>369</v>
      </c>
      <c r="D23" s="478"/>
      <c r="E23" s="1">
        <v>760</v>
      </c>
      <c r="F23" s="478" t="str">
        <f t="shared" si="0"/>
        <v>BirminghamE or W</v>
      </c>
      <c r="G23" s="478"/>
      <c r="H23" s="478" t="s">
        <v>396</v>
      </c>
    </row>
    <row r="24" spans="1:8" x14ac:dyDescent="0.25">
      <c r="A24" s="479" t="s">
        <v>378</v>
      </c>
      <c r="B24" s="478" t="s">
        <v>379</v>
      </c>
      <c r="C24" s="478" t="s">
        <v>367</v>
      </c>
      <c r="D24" s="478"/>
      <c r="E24" s="1">
        <v>859</v>
      </c>
      <c r="F24" s="478" t="str">
        <f t="shared" si="0"/>
        <v>ManchesterSouth</v>
      </c>
      <c r="G24" s="478"/>
      <c r="H24" s="478" t="s">
        <v>397</v>
      </c>
    </row>
    <row r="25" spans="1:8" x14ac:dyDescent="0.25">
      <c r="A25" s="479" t="s">
        <v>378</v>
      </c>
      <c r="B25" s="478" t="s">
        <v>379</v>
      </c>
      <c r="C25" s="478" t="s">
        <v>368</v>
      </c>
      <c r="D25" s="478"/>
      <c r="E25" s="1">
        <v>817</v>
      </c>
      <c r="F25" s="478" t="str">
        <f t="shared" si="0"/>
        <v>ManchesterSE or SW</v>
      </c>
      <c r="G25" s="478"/>
      <c r="H25" s="478" t="s">
        <v>398</v>
      </c>
    </row>
    <row r="26" spans="1:8" x14ac:dyDescent="0.25">
      <c r="A26" s="479" t="s">
        <v>378</v>
      </c>
      <c r="B26" s="478" t="s">
        <v>379</v>
      </c>
      <c r="C26" s="478" t="s">
        <v>369</v>
      </c>
      <c r="D26" s="478"/>
      <c r="E26" s="1">
        <v>708</v>
      </c>
      <c r="F26" s="478" t="str">
        <f t="shared" si="0"/>
        <v>ManchesterE or W</v>
      </c>
      <c r="G26" s="478"/>
      <c r="H26" s="478" t="s">
        <v>399</v>
      </c>
    </row>
    <row r="27" spans="1:8" x14ac:dyDescent="0.25">
      <c r="A27" s="479" t="s">
        <v>380</v>
      </c>
      <c r="B27" s="478" t="s">
        <v>381</v>
      </c>
      <c r="C27" s="478" t="s">
        <v>367</v>
      </c>
      <c r="D27" s="478"/>
      <c r="E27" s="1">
        <v>924</v>
      </c>
      <c r="F27" s="478" t="str">
        <f t="shared" si="0"/>
        <v>ChesterSouth</v>
      </c>
      <c r="G27" s="478"/>
      <c r="H27" s="478" t="s">
        <v>400</v>
      </c>
    </row>
    <row r="28" spans="1:8" x14ac:dyDescent="0.25">
      <c r="A28" s="479" t="s">
        <v>380</v>
      </c>
      <c r="B28" s="478" t="s">
        <v>381</v>
      </c>
      <c r="C28" s="478" t="s">
        <v>368</v>
      </c>
      <c r="D28" s="478"/>
      <c r="E28" s="1">
        <v>875</v>
      </c>
      <c r="F28" s="478" t="str">
        <f t="shared" si="0"/>
        <v>ChesterSE or SW</v>
      </c>
      <c r="G28" s="478"/>
      <c r="H28" s="478" t="s">
        <v>401</v>
      </c>
    </row>
    <row r="29" spans="1:8" x14ac:dyDescent="0.25">
      <c r="A29" s="479" t="s">
        <v>380</v>
      </c>
      <c r="B29" s="478" t="s">
        <v>381</v>
      </c>
      <c r="C29" s="478" t="s">
        <v>369</v>
      </c>
      <c r="D29" s="478"/>
      <c r="E29" s="1">
        <v>752</v>
      </c>
      <c r="F29" s="478" t="str">
        <f t="shared" si="0"/>
        <v>ChesterE or W</v>
      </c>
      <c r="G29" s="478"/>
    </row>
    <row r="30" spans="1:8" x14ac:dyDescent="0.25">
      <c r="A30" s="479" t="s">
        <v>382</v>
      </c>
      <c r="B30" s="478" t="s">
        <v>383</v>
      </c>
      <c r="C30" s="478" t="s">
        <v>367</v>
      </c>
      <c r="D30" s="478"/>
      <c r="E30" s="1">
        <v>858</v>
      </c>
      <c r="F30" s="478" t="str">
        <f t="shared" si="0"/>
        <v>DumfriesSouth</v>
      </c>
      <c r="G30" s="478"/>
    </row>
    <row r="31" spans="1:8" x14ac:dyDescent="0.25">
      <c r="A31" s="479" t="s">
        <v>382</v>
      </c>
      <c r="B31" s="478" t="s">
        <v>383</v>
      </c>
      <c r="C31" s="478" t="s">
        <v>368</v>
      </c>
      <c r="D31" s="478"/>
      <c r="E31" s="1">
        <v>813</v>
      </c>
      <c r="F31" s="478" t="str">
        <f t="shared" si="0"/>
        <v>DumfriesSE or SW</v>
      </c>
      <c r="G31" s="478"/>
    </row>
    <row r="32" spans="1:8" x14ac:dyDescent="0.25">
      <c r="A32" s="479" t="s">
        <v>382</v>
      </c>
      <c r="B32" s="478" t="s">
        <v>383</v>
      </c>
      <c r="C32" s="478" t="s">
        <v>369</v>
      </c>
      <c r="D32" s="478"/>
      <c r="E32" s="1">
        <v>698</v>
      </c>
      <c r="F32" s="478" t="str">
        <f t="shared" si="0"/>
        <v>DumfriesE or W</v>
      </c>
      <c r="G32" s="478"/>
    </row>
    <row r="33" spans="1:7" x14ac:dyDescent="0.25">
      <c r="A33" s="479" t="s">
        <v>384</v>
      </c>
      <c r="B33" s="478" t="s">
        <v>385</v>
      </c>
      <c r="C33" s="478" t="s">
        <v>367</v>
      </c>
      <c r="D33" s="478"/>
      <c r="E33" s="1">
        <v>870</v>
      </c>
      <c r="F33" s="478" t="str">
        <f t="shared" si="0"/>
        <v>CarlisleSouth</v>
      </c>
      <c r="G33" s="478"/>
    </row>
    <row r="34" spans="1:7" x14ac:dyDescent="0.25">
      <c r="A34" s="479" t="s">
        <v>384</v>
      </c>
      <c r="B34" s="478" t="s">
        <v>385</v>
      </c>
      <c r="C34" s="478" t="s">
        <v>368</v>
      </c>
      <c r="D34" s="478"/>
      <c r="E34" s="1">
        <v>823</v>
      </c>
      <c r="F34" s="478" t="str">
        <f t="shared" si="0"/>
        <v>CarlisleSE or SW</v>
      </c>
      <c r="G34" s="478"/>
    </row>
    <row r="35" spans="1:7" x14ac:dyDescent="0.25">
      <c r="A35" s="479" t="s">
        <v>384</v>
      </c>
      <c r="B35" s="478" t="s">
        <v>385</v>
      </c>
      <c r="C35" s="478" t="s">
        <v>369</v>
      </c>
      <c r="D35" s="478"/>
      <c r="E35" s="1">
        <v>707</v>
      </c>
      <c r="F35" s="478" t="str">
        <f t="shared" si="0"/>
        <v>CarlisleE or W</v>
      </c>
      <c r="G35" s="478"/>
    </row>
    <row r="36" spans="1:7" x14ac:dyDescent="0.25">
      <c r="A36" s="479" t="s">
        <v>386</v>
      </c>
      <c r="B36" s="478" t="s">
        <v>387</v>
      </c>
      <c r="C36" s="478" t="s">
        <v>367</v>
      </c>
      <c r="D36" s="478"/>
      <c r="E36" s="1">
        <v>894</v>
      </c>
      <c r="F36" s="478" t="str">
        <f t="shared" si="0"/>
        <v>NewcastleSouth</v>
      </c>
      <c r="G36" s="478"/>
    </row>
    <row r="37" spans="1:7" x14ac:dyDescent="0.25">
      <c r="A37" s="479" t="s">
        <v>386</v>
      </c>
      <c r="B37" s="478" t="s">
        <v>387</v>
      </c>
      <c r="C37" s="478" t="s">
        <v>368</v>
      </c>
      <c r="D37" s="478"/>
      <c r="E37" s="1">
        <v>844</v>
      </c>
      <c r="F37" s="478" t="str">
        <f t="shared" si="0"/>
        <v>NewcastleSE or SW</v>
      </c>
      <c r="G37" s="478"/>
    </row>
    <row r="38" spans="1:7" x14ac:dyDescent="0.25">
      <c r="A38" s="479" t="s">
        <v>386</v>
      </c>
      <c r="B38" s="478" t="s">
        <v>387</v>
      </c>
      <c r="C38" s="478" t="s">
        <v>369</v>
      </c>
      <c r="D38" s="478"/>
      <c r="E38" s="1">
        <v>719</v>
      </c>
      <c r="F38" s="478" t="str">
        <f t="shared" si="0"/>
        <v>NewcastleE or W</v>
      </c>
      <c r="G38" s="478"/>
    </row>
    <row r="39" spans="1:7" x14ac:dyDescent="0.25">
      <c r="A39" s="479" t="s">
        <v>388</v>
      </c>
      <c r="B39" s="478" t="s">
        <v>389</v>
      </c>
      <c r="C39" s="478" t="s">
        <v>367</v>
      </c>
      <c r="D39" s="478"/>
      <c r="E39" s="1">
        <v>892</v>
      </c>
      <c r="F39" s="478" t="str">
        <f t="shared" si="0"/>
        <v>EdinburghSouth</v>
      </c>
      <c r="G39" s="478"/>
    </row>
    <row r="40" spans="1:7" x14ac:dyDescent="0.25">
      <c r="A40" s="479" t="s">
        <v>388</v>
      </c>
      <c r="B40" s="478" t="s">
        <v>389</v>
      </c>
      <c r="C40" s="478" t="s">
        <v>368</v>
      </c>
      <c r="D40" s="478"/>
      <c r="E40" s="1">
        <v>842</v>
      </c>
      <c r="F40" s="478" t="str">
        <f t="shared" si="0"/>
        <v>EdinburghSE or SW</v>
      </c>
      <c r="G40" s="478"/>
    </row>
    <row r="41" spans="1:7" x14ac:dyDescent="0.25">
      <c r="A41" s="479" t="s">
        <v>388</v>
      </c>
      <c r="B41" s="478" t="s">
        <v>389</v>
      </c>
      <c r="C41" s="478" t="s">
        <v>369</v>
      </c>
      <c r="D41" s="478"/>
      <c r="E41" s="1">
        <v>717</v>
      </c>
      <c r="F41" s="478" t="str">
        <f t="shared" si="0"/>
        <v>EdinburghE or W</v>
      </c>
      <c r="G41" s="478"/>
    </row>
    <row r="42" spans="1:7" x14ac:dyDescent="0.25">
      <c r="A42" s="1">
        <v>10</v>
      </c>
      <c r="B42" s="478" t="s">
        <v>390</v>
      </c>
      <c r="C42" s="478" t="s">
        <v>367</v>
      </c>
      <c r="D42" s="478"/>
      <c r="E42" s="1">
        <v>904</v>
      </c>
      <c r="F42" s="478" t="str">
        <f t="shared" si="0"/>
        <v>MiddlesboroughSouth</v>
      </c>
      <c r="G42" s="478"/>
    </row>
    <row r="43" spans="1:7" x14ac:dyDescent="0.25">
      <c r="A43" s="1">
        <v>10</v>
      </c>
      <c r="B43" s="478" t="s">
        <v>390</v>
      </c>
      <c r="C43" s="478" t="s">
        <v>368</v>
      </c>
      <c r="D43" s="478"/>
      <c r="E43" s="1">
        <v>854</v>
      </c>
      <c r="F43" s="478" t="str">
        <f t="shared" si="0"/>
        <v>MiddlesboroughSE or SW</v>
      </c>
      <c r="G43" s="478"/>
    </row>
    <row r="44" spans="1:7" x14ac:dyDescent="0.25">
      <c r="A44" s="1">
        <v>10</v>
      </c>
      <c r="B44" s="478" t="s">
        <v>390</v>
      </c>
      <c r="C44" s="478" t="s">
        <v>369</v>
      </c>
      <c r="D44" s="478"/>
      <c r="E44" s="1">
        <v>727</v>
      </c>
      <c r="F44" s="478" t="str">
        <f t="shared" si="0"/>
        <v>MiddlesboroughE or W</v>
      </c>
      <c r="G44" s="478"/>
    </row>
    <row r="45" spans="1:7" x14ac:dyDescent="0.25">
      <c r="A45" s="1">
        <v>11</v>
      </c>
      <c r="B45" s="478" t="s">
        <v>391</v>
      </c>
      <c r="C45" s="478" t="s">
        <v>367</v>
      </c>
      <c r="D45" s="478"/>
      <c r="E45" s="1">
        <v>885</v>
      </c>
      <c r="F45" s="478" t="str">
        <f t="shared" si="0"/>
        <v>SheffieldSouth</v>
      </c>
      <c r="G45" s="478"/>
    </row>
    <row r="46" spans="1:7" x14ac:dyDescent="0.25">
      <c r="A46" s="1">
        <v>11</v>
      </c>
      <c r="B46" s="478" t="s">
        <v>391</v>
      </c>
      <c r="C46" s="478" t="s">
        <v>368</v>
      </c>
      <c r="D46" s="478"/>
      <c r="E46" s="1">
        <v>838</v>
      </c>
      <c r="F46" s="478" t="str">
        <f t="shared" si="0"/>
        <v>SheffieldSE or SW</v>
      </c>
      <c r="G46" s="478"/>
    </row>
    <row r="47" spans="1:7" x14ac:dyDescent="0.25">
      <c r="A47" s="1">
        <v>11</v>
      </c>
      <c r="B47" s="478" t="s">
        <v>391</v>
      </c>
      <c r="C47" s="478" t="s">
        <v>369</v>
      </c>
      <c r="D47" s="478"/>
      <c r="E47" s="1">
        <v>721</v>
      </c>
      <c r="F47" s="478" t="str">
        <f t="shared" si="0"/>
        <v>SheffieldE or W</v>
      </c>
      <c r="G47" s="478"/>
    </row>
    <row r="48" spans="1:7" x14ac:dyDescent="0.25">
      <c r="A48" s="1">
        <v>12</v>
      </c>
      <c r="B48" s="478" t="s">
        <v>392</v>
      </c>
      <c r="C48" s="478" t="s">
        <v>367</v>
      </c>
      <c r="D48" s="478"/>
      <c r="E48" s="1">
        <v>953</v>
      </c>
      <c r="F48" s="478" t="str">
        <f t="shared" si="0"/>
        <v>NorwichSouth</v>
      </c>
      <c r="G48" s="478"/>
    </row>
    <row r="49" spans="1:7" x14ac:dyDescent="0.25">
      <c r="A49" s="1">
        <v>12</v>
      </c>
      <c r="B49" s="478" t="s">
        <v>392</v>
      </c>
      <c r="C49" s="478" t="s">
        <v>368</v>
      </c>
      <c r="D49" s="478"/>
      <c r="E49" s="1">
        <v>903</v>
      </c>
      <c r="F49" s="478" t="str">
        <f t="shared" si="0"/>
        <v>NorwichSE or SW</v>
      </c>
      <c r="G49" s="478"/>
    </row>
    <row r="50" spans="1:7" x14ac:dyDescent="0.25">
      <c r="A50" s="1">
        <v>12</v>
      </c>
      <c r="B50" s="478" t="s">
        <v>392</v>
      </c>
      <c r="C50" s="478" t="s">
        <v>369</v>
      </c>
      <c r="D50" s="478"/>
      <c r="E50" s="1">
        <v>776</v>
      </c>
      <c r="F50" s="478" t="str">
        <f t="shared" si="0"/>
        <v>NorwichE or W</v>
      </c>
      <c r="G50" s="478"/>
    </row>
    <row r="51" spans="1:7" x14ac:dyDescent="0.25">
      <c r="A51" s="1">
        <v>13</v>
      </c>
      <c r="B51" s="478" t="s">
        <v>393</v>
      </c>
      <c r="C51" s="478" t="s">
        <v>367</v>
      </c>
      <c r="D51" s="478"/>
      <c r="E51" s="1">
        <v>917</v>
      </c>
      <c r="F51" s="478" t="str">
        <f t="shared" si="0"/>
        <v>AberystwithSouth</v>
      </c>
      <c r="G51" s="478"/>
    </row>
    <row r="52" spans="1:7" x14ac:dyDescent="0.25">
      <c r="A52" s="1">
        <v>13</v>
      </c>
      <c r="B52" s="478" t="s">
        <v>393</v>
      </c>
      <c r="C52" s="478" t="s">
        <v>368</v>
      </c>
      <c r="D52" s="478"/>
      <c r="E52" s="1">
        <v>873</v>
      </c>
      <c r="F52" s="478" t="str">
        <f t="shared" si="0"/>
        <v>AberystwithSE or SW</v>
      </c>
      <c r="G52" s="478"/>
    </row>
    <row r="53" spans="1:7" x14ac:dyDescent="0.25">
      <c r="A53" s="1">
        <v>13</v>
      </c>
      <c r="B53" s="478" t="s">
        <v>393</v>
      </c>
      <c r="C53" s="478" t="s">
        <v>369</v>
      </c>
      <c r="D53" s="478"/>
      <c r="E53" s="1">
        <v>755</v>
      </c>
      <c r="F53" s="478" t="str">
        <f t="shared" si="0"/>
        <v>AberystwithE or W</v>
      </c>
      <c r="G53" s="478"/>
    </row>
    <row r="54" spans="1:7" x14ac:dyDescent="0.25">
      <c r="A54" s="1">
        <v>14</v>
      </c>
      <c r="B54" s="478" t="s">
        <v>394</v>
      </c>
      <c r="C54" s="478" t="s">
        <v>367</v>
      </c>
      <c r="D54" s="478"/>
      <c r="E54" s="1">
        <v>826</v>
      </c>
      <c r="F54" s="478" t="str">
        <f t="shared" si="0"/>
        <v>GlasgowSouth</v>
      </c>
      <c r="G54" s="478"/>
    </row>
    <row r="55" spans="1:7" x14ac:dyDescent="0.25">
      <c r="A55" s="1">
        <v>14</v>
      </c>
      <c r="B55" s="478" t="s">
        <v>394</v>
      </c>
      <c r="C55" s="478" t="s">
        <v>368</v>
      </c>
      <c r="D55" s="478"/>
      <c r="E55" s="1">
        <v>785</v>
      </c>
      <c r="F55" s="478" t="str">
        <f t="shared" si="0"/>
        <v>GlasgowSE or SW</v>
      </c>
      <c r="G55" s="478"/>
    </row>
    <row r="56" spans="1:7" x14ac:dyDescent="0.25">
      <c r="A56" s="1">
        <v>14</v>
      </c>
      <c r="B56" s="478" t="s">
        <v>394</v>
      </c>
      <c r="C56" s="478" t="s">
        <v>369</v>
      </c>
      <c r="D56" s="478"/>
      <c r="E56" s="1">
        <v>678</v>
      </c>
      <c r="F56" s="478" t="str">
        <f t="shared" si="0"/>
        <v>GlasgowE or W</v>
      </c>
      <c r="G56" s="478"/>
    </row>
    <row r="57" spans="1:7" x14ac:dyDescent="0.25">
      <c r="A57" s="1">
        <v>15</v>
      </c>
      <c r="B57" s="478" t="s">
        <v>395</v>
      </c>
      <c r="C57" s="478" t="s">
        <v>367</v>
      </c>
      <c r="D57" s="478"/>
      <c r="E57" s="1">
        <v>927</v>
      </c>
      <c r="F57" s="478" t="str">
        <f t="shared" si="0"/>
        <v>DundeeSouth</v>
      </c>
      <c r="G57" s="478"/>
    </row>
    <row r="58" spans="1:7" x14ac:dyDescent="0.25">
      <c r="A58" s="1">
        <v>15</v>
      </c>
      <c r="B58" s="478" t="s">
        <v>395</v>
      </c>
      <c r="C58" s="478" t="s">
        <v>368</v>
      </c>
      <c r="D58" s="478"/>
      <c r="E58" s="1">
        <v>874</v>
      </c>
      <c r="F58" s="478" t="str">
        <f t="shared" si="0"/>
        <v>DundeeSE or SW</v>
      </c>
      <c r="G58" s="478"/>
    </row>
    <row r="59" spans="1:7" x14ac:dyDescent="0.25">
      <c r="A59" s="1">
        <v>15</v>
      </c>
      <c r="B59" s="478" t="s">
        <v>395</v>
      </c>
      <c r="C59" s="478" t="s">
        <v>369</v>
      </c>
      <c r="D59" s="478"/>
      <c r="E59" s="1">
        <v>738</v>
      </c>
      <c r="F59" s="478" t="str">
        <f t="shared" si="0"/>
        <v>DundeeE or W</v>
      </c>
      <c r="G59" s="478"/>
    </row>
    <row r="60" spans="1:7" x14ac:dyDescent="0.25">
      <c r="A60" s="1">
        <v>16</v>
      </c>
      <c r="B60" s="478" t="s">
        <v>396</v>
      </c>
      <c r="C60" s="478" t="s">
        <v>367</v>
      </c>
      <c r="D60" s="478"/>
      <c r="E60" s="1">
        <v>862</v>
      </c>
      <c r="F60" s="478" t="str">
        <f t="shared" si="0"/>
        <v>AberdeenSouth</v>
      </c>
      <c r="G60" s="478"/>
    </row>
    <row r="61" spans="1:7" x14ac:dyDescent="0.25">
      <c r="A61" s="1">
        <v>16</v>
      </c>
      <c r="B61" s="478" t="s">
        <v>396</v>
      </c>
      <c r="C61" s="478" t="s">
        <v>368</v>
      </c>
      <c r="D61" s="478"/>
      <c r="E61" s="1">
        <v>815</v>
      </c>
      <c r="F61" s="478" t="str">
        <f t="shared" si="0"/>
        <v>AberdeenSE or SW</v>
      </c>
      <c r="G61" s="478"/>
    </row>
    <row r="62" spans="1:7" x14ac:dyDescent="0.25">
      <c r="A62" s="1">
        <v>16</v>
      </c>
      <c r="B62" s="478" t="s">
        <v>396</v>
      </c>
      <c r="C62" s="478" t="s">
        <v>369</v>
      </c>
      <c r="D62" s="478"/>
      <c r="E62" s="1">
        <v>696</v>
      </c>
      <c r="F62" s="478" t="str">
        <f t="shared" si="0"/>
        <v>AberdeenE or W</v>
      </c>
      <c r="G62" s="478"/>
    </row>
    <row r="63" spans="1:7" x14ac:dyDescent="0.25">
      <c r="A63" s="1">
        <v>17</v>
      </c>
      <c r="B63" s="478" t="s">
        <v>397</v>
      </c>
      <c r="C63" s="478" t="s">
        <v>367</v>
      </c>
      <c r="D63" s="478"/>
      <c r="E63" s="1">
        <v>826</v>
      </c>
      <c r="F63" s="478" t="str">
        <f t="shared" si="0"/>
        <v>InvernessSouth</v>
      </c>
      <c r="G63" s="478"/>
    </row>
    <row r="64" spans="1:7" x14ac:dyDescent="0.25">
      <c r="A64" s="1">
        <v>17</v>
      </c>
      <c r="B64" s="478" t="s">
        <v>397</v>
      </c>
      <c r="C64" s="478" t="s">
        <v>368</v>
      </c>
      <c r="D64" s="478"/>
      <c r="E64" s="1">
        <v>782</v>
      </c>
      <c r="F64" s="478" t="str">
        <f t="shared" si="0"/>
        <v>InvernessSE or SW</v>
      </c>
      <c r="G64" s="478"/>
    </row>
    <row r="65" spans="1:7" x14ac:dyDescent="0.25">
      <c r="A65" s="1">
        <v>17</v>
      </c>
      <c r="B65" s="478" t="s">
        <v>397</v>
      </c>
      <c r="C65" s="478" t="s">
        <v>369</v>
      </c>
      <c r="D65" s="478"/>
      <c r="E65" s="1">
        <v>672</v>
      </c>
      <c r="F65" s="478" t="str">
        <f t="shared" si="0"/>
        <v>InvernessE or W</v>
      </c>
      <c r="G65" s="478"/>
    </row>
    <row r="66" spans="1:7" x14ac:dyDescent="0.25">
      <c r="A66" s="1">
        <v>18</v>
      </c>
      <c r="B66" s="478" t="s">
        <v>398</v>
      </c>
      <c r="C66" s="478" t="s">
        <v>367</v>
      </c>
      <c r="D66" s="478"/>
      <c r="E66" s="1">
        <v>786</v>
      </c>
      <c r="F66" s="478" t="str">
        <f t="shared" si="0"/>
        <v>StornowaySouth</v>
      </c>
      <c r="G66" s="478"/>
    </row>
    <row r="67" spans="1:7" x14ac:dyDescent="0.25">
      <c r="A67" s="1">
        <v>18</v>
      </c>
      <c r="B67" s="478" t="s">
        <v>398</v>
      </c>
      <c r="C67" s="478" t="s">
        <v>368</v>
      </c>
      <c r="D67" s="478"/>
      <c r="E67" s="1">
        <v>749</v>
      </c>
      <c r="F67" s="478" t="str">
        <f t="shared" si="0"/>
        <v>StornowaySE or SW</v>
      </c>
      <c r="G67" s="478"/>
    </row>
    <row r="68" spans="1:7" x14ac:dyDescent="0.25">
      <c r="A68" s="1">
        <v>18</v>
      </c>
      <c r="B68" s="478" t="s">
        <v>398</v>
      </c>
      <c r="C68" s="478" t="s">
        <v>369</v>
      </c>
      <c r="D68" s="478"/>
      <c r="E68" s="1">
        <v>653</v>
      </c>
      <c r="F68" s="478" t="str">
        <f t="shared" ref="F68:F77" si="1">B68&amp;C68</f>
        <v>StornowayE or W</v>
      </c>
      <c r="G68" s="478"/>
    </row>
    <row r="69" spans="1:7" x14ac:dyDescent="0.25">
      <c r="A69" s="1">
        <v>19</v>
      </c>
      <c r="B69" s="478" t="s">
        <v>399</v>
      </c>
      <c r="C69" s="478" t="s">
        <v>367</v>
      </c>
      <c r="D69" s="478"/>
      <c r="E69" s="1">
        <v>752</v>
      </c>
      <c r="F69" s="478" t="str">
        <f t="shared" si="1"/>
        <v>KirkwallSouth</v>
      </c>
      <c r="G69" s="478"/>
    </row>
    <row r="70" spans="1:7" x14ac:dyDescent="0.25">
      <c r="A70" s="1">
        <v>19</v>
      </c>
      <c r="B70" s="478" t="s">
        <v>399</v>
      </c>
      <c r="C70" s="478" t="s">
        <v>368</v>
      </c>
      <c r="D70" s="478"/>
      <c r="E70" s="1">
        <v>716</v>
      </c>
      <c r="F70" s="478" t="str">
        <f t="shared" si="1"/>
        <v>KirkwallSE or SW</v>
      </c>
      <c r="G70" s="478"/>
    </row>
    <row r="71" spans="1:7" x14ac:dyDescent="0.25">
      <c r="A71" s="1">
        <v>19</v>
      </c>
      <c r="B71" s="478" t="s">
        <v>399</v>
      </c>
      <c r="C71" s="478" t="s">
        <v>369</v>
      </c>
      <c r="D71" s="478"/>
      <c r="E71" s="1">
        <v>625</v>
      </c>
      <c r="F71" s="478" t="str">
        <f t="shared" si="1"/>
        <v>KirkwallE or W</v>
      </c>
      <c r="G71" s="478"/>
    </row>
    <row r="72" spans="1:7" x14ac:dyDescent="0.25">
      <c r="A72" s="1">
        <v>20</v>
      </c>
      <c r="B72" s="478" t="s">
        <v>400</v>
      </c>
      <c r="C72" s="478" t="s">
        <v>367</v>
      </c>
      <c r="D72" s="478"/>
      <c r="E72" s="1">
        <v>731</v>
      </c>
      <c r="F72" s="478" t="str">
        <f t="shared" si="1"/>
        <v>LerwickSouth</v>
      </c>
      <c r="G72" s="478"/>
    </row>
    <row r="73" spans="1:7" x14ac:dyDescent="0.25">
      <c r="A73" s="1">
        <v>20</v>
      </c>
      <c r="B73" s="478" t="s">
        <v>400</v>
      </c>
      <c r="C73" s="478" t="s">
        <v>368</v>
      </c>
      <c r="D73" s="478"/>
      <c r="E73" s="1">
        <v>697</v>
      </c>
      <c r="F73" s="478" t="str">
        <f t="shared" si="1"/>
        <v>LerwickSE or SW</v>
      </c>
      <c r="G73" s="478"/>
    </row>
    <row r="74" spans="1:7" x14ac:dyDescent="0.25">
      <c r="A74" s="1">
        <v>20</v>
      </c>
      <c r="B74" s="478" t="s">
        <v>400</v>
      </c>
      <c r="C74" s="478" t="s">
        <v>369</v>
      </c>
      <c r="D74" s="478"/>
      <c r="E74" s="1">
        <v>609</v>
      </c>
      <c r="F74" s="478" t="str">
        <f t="shared" si="1"/>
        <v>LerwickE or W</v>
      </c>
      <c r="G74" s="478"/>
    </row>
    <row r="75" spans="1:7" x14ac:dyDescent="0.25">
      <c r="A75" s="1">
        <v>21</v>
      </c>
      <c r="B75" s="478" t="s">
        <v>401</v>
      </c>
      <c r="C75" s="478" t="s">
        <v>367</v>
      </c>
      <c r="D75" s="478"/>
      <c r="E75" s="1">
        <v>838</v>
      </c>
      <c r="F75" s="478" t="str">
        <f t="shared" si="1"/>
        <v>BelfastSouth</v>
      </c>
      <c r="G75" s="478"/>
    </row>
    <row r="76" spans="1:7" x14ac:dyDescent="0.25">
      <c r="A76" s="1">
        <v>21</v>
      </c>
      <c r="B76" s="478" t="s">
        <v>401</v>
      </c>
      <c r="C76" s="478" t="s">
        <v>368</v>
      </c>
      <c r="D76" s="478"/>
      <c r="E76" s="1">
        <v>795</v>
      </c>
      <c r="F76" s="478" t="str">
        <f t="shared" si="1"/>
        <v>BelfastSE or SW</v>
      </c>
      <c r="G76" s="478"/>
    </row>
    <row r="77" spans="1:7" x14ac:dyDescent="0.25">
      <c r="A77" s="1">
        <v>21</v>
      </c>
      <c r="B77" s="478" t="s">
        <v>401</v>
      </c>
      <c r="C77" s="478" t="s">
        <v>369</v>
      </c>
      <c r="D77" s="478"/>
      <c r="E77" s="1">
        <v>685</v>
      </c>
      <c r="F77" s="478" t="str">
        <f t="shared" si="1"/>
        <v>BelfastE or W</v>
      </c>
      <c r="G77" s="478"/>
    </row>
    <row r="79" spans="1:7" x14ac:dyDescent="0.25">
      <c r="F79" s="478"/>
    </row>
  </sheetData>
  <pageMargins left="0.7" right="0.7" top="0.75" bottom="0.75" header="0.3" footer="0.3"/>
  <pageSetup paperSize="9" orientation="portrait" horizontalDpi="4294967293" verticalDpi="4294967293"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F3F8C-312D-4586-9B5B-5DE9328B01A5}">
  <dimension ref="B2:M17"/>
  <sheetViews>
    <sheetView topLeftCell="A4" zoomScale="80" zoomScaleNormal="80" workbookViewId="0">
      <selection activeCell="N3" sqref="N3"/>
    </sheetView>
  </sheetViews>
  <sheetFormatPr defaultRowHeight="13.2" x14ac:dyDescent="0.25"/>
  <cols>
    <col min="1" max="1" width="8.88671875" style="5"/>
    <col min="2" max="2" width="10.77734375" style="5" customWidth="1"/>
    <col min="3" max="3" width="3.77734375" style="5" customWidth="1"/>
    <col min="4" max="4" width="8.77734375" style="5" customWidth="1"/>
    <col min="5" max="5" width="9.5546875" style="5" customWidth="1"/>
    <col min="6" max="6" width="8" style="5" customWidth="1"/>
    <col min="7" max="7" width="15" style="5" customWidth="1"/>
    <col min="8" max="8" width="10.77734375" style="5" customWidth="1"/>
    <col min="9" max="9" width="6.33203125" style="5" customWidth="1"/>
    <col min="10" max="11" width="7.5546875" style="5" customWidth="1"/>
    <col min="12" max="13" width="8.88671875" style="5"/>
    <col min="14" max="14" width="14.44140625" style="5" bestFit="1" customWidth="1"/>
    <col min="15" max="16384" width="8.88671875" style="5"/>
  </cols>
  <sheetData>
    <row r="2" spans="2:13" ht="14.4" x14ac:dyDescent="0.3">
      <c r="B2" s="716" t="s">
        <v>460</v>
      </c>
      <c r="C2" s="717"/>
      <c r="D2" s="717"/>
      <c r="E2" s="717"/>
      <c r="F2" s="717"/>
      <c r="G2" s="717"/>
      <c r="H2" s="717"/>
      <c r="I2" s="717"/>
      <c r="J2" s="717"/>
      <c r="K2" s="717"/>
      <c r="L2" s="717"/>
      <c r="M2" s="717"/>
    </row>
    <row r="3" spans="2:13" ht="147.6" customHeight="1" x14ac:dyDescent="0.25">
      <c r="B3" s="697" t="s">
        <v>474</v>
      </c>
      <c r="C3" s="698"/>
      <c r="D3" s="698"/>
      <c r="E3" s="698"/>
      <c r="F3" s="698"/>
      <c r="G3" s="698"/>
      <c r="H3" s="698"/>
      <c r="I3" s="698"/>
      <c r="J3" s="698"/>
      <c r="K3" s="698"/>
      <c r="L3" s="698"/>
      <c r="M3" s="699"/>
    </row>
    <row r="4" spans="2:13" ht="14.4" x14ac:dyDescent="0.3">
      <c r="B4" s="694" t="s">
        <v>461</v>
      </c>
      <c r="C4" s="695"/>
      <c r="D4" s="695"/>
      <c r="E4" s="695"/>
      <c r="F4" s="695"/>
      <c r="G4" s="695"/>
      <c r="H4" s="695"/>
      <c r="I4" s="695"/>
      <c r="J4" s="695"/>
      <c r="K4" s="695"/>
      <c r="L4" s="695"/>
      <c r="M4" s="696"/>
    </row>
    <row r="5" spans="2:13" ht="186.6" customHeight="1" x14ac:dyDescent="0.25">
      <c r="B5" s="697" t="s">
        <v>475</v>
      </c>
      <c r="C5" s="698"/>
      <c r="D5" s="698"/>
      <c r="E5" s="698"/>
      <c r="F5" s="698"/>
      <c r="G5" s="698"/>
      <c r="H5" s="698"/>
      <c r="I5" s="698"/>
      <c r="J5" s="698"/>
      <c r="K5" s="698"/>
      <c r="L5" s="698"/>
      <c r="M5" s="699"/>
    </row>
    <row r="6" spans="2:13" ht="14.4" x14ac:dyDescent="0.3">
      <c r="B6" s="694" t="s">
        <v>463</v>
      </c>
      <c r="C6" s="695"/>
      <c r="D6" s="695"/>
      <c r="E6" s="695"/>
      <c r="F6" s="695"/>
      <c r="G6" s="695"/>
      <c r="H6" s="695"/>
      <c r="I6" s="695"/>
      <c r="J6" s="695"/>
      <c r="K6" s="695"/>
      <c r="L6" s="695"/>
      <c r="M6" s="696"/>
    </row>
    <row r="7" spans="2:13" ht="39" customHeight="1" x14ac:dyDescent="0.25">
      <c r="B7" s="721" t="s">
        <v>479</v>
      </c>
      <c r="C7" s="722"/>
      <c r="D7" s="722"/>
      <c r="E7" s="722"/>
      <c r="F7" s="722"/>
      <c r="G7" s="722"/>
      <c r="H7" s="722"/>
      <c r="I7" s="722"/>
      <c r="J7" s="722"/>
      <c r="K7" s="722"/>
      <c r="L7" s="722"/>
      <c r="M7" s="723"/>
    </row>
    <row r="8" spans="2:13" ht="14.4" x14ac:dyDescent="0.3">
      <c r="B8" s="694" t="s">
        <v>462</v>
      </c>
      <c r="C8" s="695"/>
      <c r="D8" s="695"/>
      <c r="E8" s="695"/>
      <c r="F8" s="695"/>
      <c r="G8" s="695"/>
      <c r="H8" s="695"/>
      <c r="I8" s="695"/>
      <c r="J8" s="695"/>
      <c r="K8" s="695"/>
      <c r="L8" s="695"/>
      <c r="M8" s="696"/>
    </row>
    <row r="9" spans="2:13" ht="35.4" customHeight="1" x14ac:dyDescent="0.25">
      <c r="B9" s="718" t="s">
        <v>476</v>
      </c>
      <c r="C9" s="719"/>
      <c r="D9" s="719"/>
      <c r="E9" s="719"/>
      <c r="F9" s="719"/>
      <c r="G9" s="719"/>
      <c r="H9" s="719"/>
      <c r="I9" s="719"/>
      <c r="J9" s="719"/>
      <c r="K9" s="719"/>
      <c r="L9" s="719"/>
      <c r="M9" s="720"/>
    </row>
    <row r="10" spans="2:13" x14ac:dyDescent="0.25">
      <c r="B10" s="13"/>
      <c r="C10" s="6"/>
      <c r="D10" s="6"/>
      <c r="E10" s="6"/>
      <c r="F10" s="6"/>
      <c r="G10" s="6"/>
      <c r="H10" s="6"/>
      <c r="I10" s="6"/>
      <c r="J10" s="6"/>
      <c r="K10" s="6"/>
      <c r="L10" s="6"/>
      <c r="M10" s="657"/>
    </row>
    <row r="11" spans="2:13" ht="14.4" x14ac:dyDescent="0.35">
      <c r="B11" s="617" t="s">
        <v>435</v>
      </c>
      <c r="C11" s="617"/>
      <c r="D11" s="700" t="s">
        <v>214</v>
      </c>
      <c r="E11" s="701"/>
      <c r="F11" s="702"/>
      <c r="G11" s="616" t="s">
        <v>477</v>
      </c>
      <c r="H11" s="703" t="s">
        <v>478</v>
      </c>
      <c r="I11" s="704"/>
      <c r="J11" s="705" t="s">
        <v>305</v>
      </c>
      <c r="K11" s="706"/>
      <c r="L11" s="6"/>
      <c r="M11" s="657"/>
    </row>
    <row r="12" spans="2:13" ht="14.4" x14ac:dyDescent="0.35">
      <c r="B12" s="617" t="s">
        <v>436</v>
      </c>
      <c r="C12" s="617"/>
      <c r="D12" s="714" t="s">
        <v>214</v>
      </c>
      <c r="E12" s="715"/>
      <c r="F12" s="707" t="s">
        <v>477</v>
      </c>
      <c r="G12" s="708"/>
      <c r="H12" s="709"/>
      <c r="I12" s="712" t="s">
        <v>478</v>
      </c>
      <c r="J12" s="713"/>
      <c r="K12" s="710" t="s">
        <v>305</v>
      </c>
      <c r="L12" s="711"/>
      <c r="M12" s="657"/>
    </row>
    <row r="13" spans="2:13" ht="6.6" customHeight="1" x14ac:dyDescent="0.25">
      <c r="B13" s="13"/>
      <c r="C13" s="19"/>
      <c r="D13" s="10"/>
      <c r="E13" s="10"/>
      <c r="F13" s="10"/>
      <c r="G13" s="10"/>
      <c r="H13" s="10"/>
      <c r="I13" s="10"/>
      <c r="J13" s="10"/>
      <c r="K13" s="10"/>
      <c r="L13" s="10"/>
      <c r="M13" s="657"/>
    </row>
    <row r="14" spans="2:13" ht="13.8" x14ac:dyDescent="0.3">
      <c r="B14" s="19"/>
      <c r="C14" s="10"/>
      <c r="D14" s="10"/>
      <c r="E14" s="10"/>
      <c r="F14" s="10"/>
      <c r="G14" s="10"/>
      <c r="H14" s="10"/>
      <c r="I14" s="10"/>
      <c r="J14" s="10"/>
      <c r="K14" s="10"/>
      <c r="L14" s="658" t="s">
        <v>437</v>
      </c>
      <c r="M14" s="659"/>
    </row>
    <row r="15" spans="2:13" ht="14.4" x14ac:dyDescent="0.3">
      <c r="B15" s="694" t="s">
        <v>464</v>
      </c>
      <c r="C15" s="695"/>
      <c r="D15" s="695"/>
      <c r="E15" s="695"/>
      <c r="F15" s="695"/>
      <c r="G15" s="695"/>
      <c r="H15" s="695"/>
      <c r="I15" s="695"/>
      <c r="J15" s="695"/>
      <c r="K15" s="695"/>
      <c r="L15" s="695"/>
      <c r="M15" s="696"/>
    </row>
    <row r="16" spans="2:13" ht="160.80000000000001" customHeight="1" x14ac:dyDescent="0.25">
      <c r="B16" s="697" t="s">
        <v>465</v>
      </c>
      <c r="C16" s="698"/>
      <c r="D16" s="698"/>
      <c r="E16" s="698"/>
      <c r="F16" s="698"/>
      <c r="G16" s="698"/>
      <c r="H16" s="698"/>
      <c r="I16" s="698"/>
      <c r="J16" s="698"/>
      <c r="K16" s="698"/>
      <c r="L16" s="698"/>
      <c r="M16" s="699"/>
    </row>
    <row r="17" spans="2:2" ht="14.4" x14ac:dyDescent="0.3">
      <c r="B17" s="648"/>
    </row>
  </sheetData>
  <sheetProtection algorithmName="SHA-512" hashValue="7D0wXWmNWglTuzfUfXk2acEfDBNVbWI4vRBKn//S/T5LM+5rgKYfV3T1b4jMCR7x8t//djEdIWnxNu6+o0769A==" saltValue="sqxJjyRv6YjG2wIiUU8knw==" spinCount="100000" sheet="1" objects="1" scenarios="1"/>
  <mergeCells count="17">
    <mergeCell ref="B5:M5"/>
    <mergeCell ref="B4:M4"/>
    <mergeCell ref="B3:M3"/>
    <mergeCell ref="B2:M2"/>
    <mergeCell ref="B9:M9"/>
    <mergeCell ref="B8:M8"/>
    <mergeCell ref="B6:M6"/>
    <mergeCell ref="B7:M7"/>
    <mergeCell ref="B15:M15"/>
    <mergeCell ref="B16:M16"/>
    <mergeCell ref="D11:F11"/>
    <mergeCell ref="H11:I11"/>
    <mergeCell ref="J11:K11"/>
    <mergeCell ref="F12:H12"/>
    <mergeCell ref="K12:L12"/>
    <mergeCell ref="I12:J12"/>
    <mergeCell ref="D12:E12"/>
  </mergeCells>
  <pageMargins left="0.7" right="0.7" top="0.75" bottom="0.75" header="0.3" footer="0.3"/>
  <pageSetup paperSize="9"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756ED1-E07D-4AA6-9194-8AFE3FC6AB78}">
  <sheetPr>
    <tabColor theme="3"/>
  </sheetPr>
  <dimension ref="B1:F33"/>
  <sheetViews>
    <sheetView zoomScaleNormal="100" workbookViewId="0">
      <selection activeCell="B34" sqref="B34"/>
    </sheetView>
  </sheetViews>
  <sheetFormatPr defaultColWidth="8.88671875" defaultRowHeight="13.2" x14ac:dyDescent="0.25"/>
  <cols>
    <col min="1" max="1" width="8.88671875" style="5"/>
    <col min="2" max="2" width="44.33203125" style="5" bestFit="1" customWidth="1"/>
    <col min="3" max="3" width="11.109375" style="624" customWidth="1"/>
    <col min="4" max="4" width="9.33203125" style="5" bestFit="1" customWidth="1"/>
    <col min="5" max="5" width="96.5546875" style="5" bestFit="1" customWidth="1"/>
    <col min="6" max="6" width="5.88671875" style="5" customWidth="1"/>
    <col min="7" max="16384" width="8.88671875" style="5"/>
  </cols>
  <sheetData>
    <row r="1" spans="2:5" s="629" customFormat="1" x14ac:dyDescent="0.25">
      <c r="B1" s="629" t="s">
        <v>16</v>
      </c>
      <c r="C1" s="630" t="s">
        <v>20</v>
      </c>
      <c r="D1" s="631" t="s">
        <v>0</v>
      </c>
      <c r="E1" s="632" t="s">
        <v>215</v>
      </c>
    </row>
    <row r="3" spans="2:5" s="11" customFormat="1" x14ac:dyDescent="0.25">
      <c r="B3" s="628" t="s">
        <v>281</v>
      </c>
      <c r="C3" s="621"/>
      <c r="D3" s="622"/>
      <c r="E3" s="623"/>
    </row>
    <row r="4" spans="2:5" x14ac:dyDescent="0.25">
      <c r="B4" s="626" t="s">
        <v>2</v>
      </c>
      <c r="C4" s="625"/>
      <c r="D4" s="467" t="s">
        <v>3</v>
      </c>
      <c r="E4" s="169"/>
    </row>
    <row r="5" spans="2:5" x14ac:dyDescent="0.25">
      <c r="B5" s="627" t="s">
        <v>4</v>
      </c>
      <c r="C5" s="76" t="s">
        <v>5</v>
      </c>
      <c r="D5" s="80">
        <v>2.1000000000000001E-2</v>
      </c>
      <c r="E5" s="468" t="s">
        <v>356</v>
      </c>
    </row>
    <row r="6" spans="2:5" x14ac:dyDescent="0.25">
      <c r="B6" s="627" t="s">
        <v>6</v>
      </c>
      <c r="C6" s="76"/>
      <c r="D6" s="78">
        <v>2022</v>
      </c>
      <c r="E6" s="75"/>
    </row>
    <row r="7" spans="2:5" x14ac:dyDescent="0.25">
      <c r="B7" s="627" t="s">
        <v>7</v>
      </c>
      <c r="C7" s="76" t="s">
        <v>8</v>
      </c>
      <c r="D7" s="78">
        <v>25</v>
      </c>
      <c r="E7" s="76"/>
    </row>
    <row r="8" spans="2:5" x14ac:dyDescent="0.25">
      <c r="B8" s="627" t="s">
        <v>279</v>
      </c>
      <c r="C8" s="76"/>
      <c r="D8" s="481">
        <v>3.5000000000000003E-2</v>
      </c>
      <c r="E8" s="167" t="s">
        <v>9</v>
      </c>
    </row>
    <row r="10" spans="2:5" x14ac:dyDescent="0.25">
      <c r="B10" s="628" t="s">
        <v>283</v>
      </c>
      <c r="E10" s="5">
        <f>5000*964/1000</f>
        <v>4820</v>
      </c>
    </row>
    <row r="11" spans="2:5" x14ac:dyDescent="0.25">
      <c r="B11" s="633" t="s">
        <v>402</v>
      </c>
      <c r="C11" s="76"/>
      <c r="D11" s="481" t="s">
        <v>374</v>
      </c>
      <c r="E11" s="167" t="s">
        <v>404</v>
      </c>
    </row>
    <row r="12" spans="2:5" x14ac:dyDescent="0.25">
      <c r="B12" s="633" t="s">
        <v>406</v>
      </c>
      <c r="C12" s="76"/>
      <c r="D12" s="481" t="s">
        <v>367</v>
      </c>
      <c r="E12" s="167" t="s">
        <v>407</v>
      </c>
    </row>
    <row r="13" spans="2:5" x14ac:dyDescent="0.25">
      <c r="B13" s="633" t="s">
        <v>405</v>
      </c>
      <c r="C13" s="76" t="s">
        <v>409</v>
      </c>
      <c r="D13" s="480">
        <f>'Irradiance Data (MCS)'!L4</f>
        <v>964</v>
      </c>
      <c r="E13" s="167" t="s">
        <v>408</v>
      </c>
    </row>
    <row r="14" spans="2:5" x14ac:dyDescent="0.25">
      <c r="B14" s="627" t="s">
        <v>10</v>
      </c>
      <c r="C14" s="76"/>
      <c r="D14" s="102">
        <v>7.0000000000000001E-3</v>
      </c>
      <c r="E14" s="119" t="s">
        <v>329</v>
      </c>
    </row>
    <row r="15" spans="2:5" x14ac:dyDescent="0.25">
      <c r="B15" s="627" t="s">
        <v>210</v>
      </c>
      <c r="C15" s="76" t="s">
        <v>5</v>
      </c>
      <c r="D15" s="121">
        <v>3.0000000000000001E-3</v>
      </c>
      <c r="E15" s="77" t="str">
        <f>"Grid outages, maintanace etc, equivalent to "&amp;ROUND(D15*8760,0)&amp;" hours per year"</f>
        <v>Grid outages, maintanace etc, equivalent to 26 hours per year</v>
      </c>
    </row>
    <row r="17" spans="2:6" x14ac:dyDescent="0.25">
      <c r="B17" s="628" t="s">
        <v>441</v>
      </c>
    </row>
    <row r="18" spans="2:6" x14ac:dyDescent="0.25">
      <c r="B18" s="627" t="s">
        <v>29</v>
      </c>
      <c r="C18" s="76" t="s">
        <v>5</v>
      </c>
      <c r="D18" s="79">
        <v>0.04</v>
      </c>
      <c r="E18" s="75" t="s">
        <v>330</v>
      </c>
    </row>
    <row r="19" spans="2:6" x14ac:dyDescent="0.25">
      <c r="B19" s="627" t="s">
        <v>438</v>
      </c>
      <c r="C19" s="76" t="s">
        <v>8</v>
      </c>
      <c r="D19" s="618">
        <v>2</v>
      </c>
      <c r="E19" s="77" t="s">
        <v>481</v>
      </c>
    </row>
    <row r="20" spans="2:6" x14ac:dyDescent="0.25">
      <c r="B20" s="627" t="s">
        <v>451</v>
      </c>
      <c r="C20" s="76" t="s">
        <v>22</v>
      </c>
      <c r="D20" s="166">
        <v>14.04</v>
      </c>
      <c r="E20" s="77" t="s">
        <v>442</v>
      </c>
    </row>
    <row r="21" spans="2:6" x14ac:dyDescent="0.25">
      <c r="B21" s="643" t="s">
        <v>453</v>
      </c>
      <c r="C21" s="76" t="s">
        <v>5</v>
      </c>
      <c r="D21" s="79">
        <v>0</v>
      </c>
      <c r="E21" s="644" t="s">
        <v>452</v>
      </c>
    </row>
    <row r="22" spans="2:6" x14ac:dyDescent="0.25">
      <c r="B22" s="627" t="s">
        <v>483</v>
      </c>
      <c r="C22" s="76" t="s">
        <v>5</v>
      </c>
      <c r="D22" s="79">
        <v>0</v>
      </c>
      <c r="E22" s="77" t="s">
        <v>454</v>
      </c>
    </row>
    <row r="23" spans="2:6" x14ac:dyDescent="0.25">
      <c r="B23" s="664" t="s">
        <v>482</v>
      </c>
      <c r="C23" s="5"/>
    </row>
    <row r="24" spans="2:6" x14ac:dyDescent="0.25">
      <c r="B24" s="640"/>
      <c r="C24" s="5"/>
    </row>
    <row r="25" spans="2:6" x14ac:dyDescent="0.25">
      <c r="B25" s="636" t="s">
        <v>12</v>
      </c>
      <c r="C25" s="634"/>
      <c r="D25" s="635"/>
      <c r="E25" s="637" t="s">
        <v>439</v>
      </c>
    </row>
    <row r="26" spans="2:6" x14ac:dyDescent="0.25">
      <c r="B26" s="636" t="s">
        <v>13</v>
      </c>
      <c r="C26" s="634" t="s">
        <v>5</v>
      </c>
      <c r="D26" s="638"/>
      <c r="E26" s="639" t="s">
        <v>440</v>
      </c>
    </row>
    <row r="27" spans="2:6" x14ac:dyDescent="0.25">
      <c r="B27" s="636" t="s">
        <v>443</v>
      </c>
      <c r="C27" s="634" t="s">
        <v>444</v>
      </c>
      <c r="D27" s="638"/>
      <c r="E27" s="639" t="s">
        <v>445</v>
      </c>
    </row>
    <row r="28" spans="2:6" x14ac:dyDescent="0.25">
      <c r="B28" s="636" t="s">
        <v>11</v>
      </c>
      <c r="C28" s="634"/>
      <c r="D28" s="638"/>
      <c r="E28" s="639" t="s">
        <v>446</v>
      </c>
    </row>
    <row r="30" spans="2:6" x14ac:dyDescent="0.25">
      <c r="B30" s="628" t="s">
        <v>280</v>
      </c>
    </row>
    <row r="31" spans="2:6" x14ac:dyDescent="0.25">
      <c r="B31" s="627" t="s">
        <v>219</v>
      </c>
      <c r="C31" s="76" t="s">
        <v>8</v>
      </c>
      <c r="D31" s="78">
        <v>25</v>
      </c>
      <c r="E31" s="75" t="s">
        <v>449</v>
      </c>
      <c r="F31" s="6" t="str">
        <f>IF('Cash Flow Model'!B42="err","Insufficent cashflow","Ok")</f>
        <v>Ok</v>
      </c>
    </row>
    <row r="32" spans="2:6" x14ac:dyDescent="0.25">
      <c r="B32" s="627" t="s">
        <v>282</v>
      </c>
      <c r="C32" s="76" t="s">
        <v>8</v>
      </c>
      <c r="D32" s="618">
        <v>2</v>
      </c>
      <c r="E32" s="168" t="s">
        <v>447</v>
      </c>
      <c r="F32" s="6"/>
    </row>
    <row r="33" spans="2:2" x14ac:dyDescent="0.25">
      <c r="B33" s="640" t="s">
        <v>448</v>
      </c>
    </row>
  </sheetData>
  <conditionalFormatting sqref="F31">
    <cfRule type="containsText" dxfId="345" priority="4" operator="containsText" text="ok">
      <formula>NOT(ISERROR(SEARCH("ok",F31)))</formula>
    </cfRule>
    <cfRule type="containsText" dxfId="344" priority="5" operator="containsText" text="insufficent cashflow">
      <formula>NOT(ISERROR(SEARCH("insufficent cashflow",F31)))</formula>
    </cfRule>
  </conditionalFormatting>
  <conditionalFormatting sqref="E32">
    <cfRule type="containsText" dxfId="343" priority="2" operator="containsText" text="ok">
      <formula>NOT(ISERROR(SEARCH("ok",E32)))</formula>
    </cfRule>
    <cfRule type="containsText" dxfId="342" priority="3" operator="containsText" text="not always met">
      <formula>NOT(ISERROR(SEARCH("not always met",E32)))</formula>
    </cfRule>
  </conditionalFormatting>
  <conditionalFormatting sqref="D5">
    <cfRule type="expression" dxfId="341" priority="1">
      <formula>$D$4="no"</formula>
    </cfRule>
  </conditionalFormatting>
  <dataValidations count="1">
    <dataValidation type="list" allowBlank="1" showInputMessage="1" showErrorMessage="1" sqref="D4" xr:uid="{BBBD7B4F-48F7-4FB4-8196-1B2B29C5006D}">
      <formula1>"yes,no"</formula1>
    </dataValidation>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allowBlank="1" showInputMessage="1" showErrorMessage="1" xr:uid="{6186BE34-5648-4099-B531-CD6C8A3FE1F4}">
          <x14:formula1>
            <xm:f>'Irradiance Data (MCS)'!$H$3:$H$28</xm:f>
          </x14:formula1>
          <xm:sqref>D11</xm:sqref>
        </x14:dataValidation>
        <x14:dataValidation type="list" allowBlank="1" showInputMessage="1" showErrorMessage="1" xr:uid="{D4729EAA-E424-4B46-B199-83450F3E73A3}">
          <x14:formula1>
            <xm:f>'Irradiance Data (MCS)'!$I$4:$I$6</xm:f>
          </x14:formula1>
          <xm:sqref>D12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tabColor rgb="FFFFC000"/>
  </sheetPr>
  <dimension ref="A1:Q55"/>
  <sheetViews>
    <sheetView topLeftCell="B22" zoomScale="80" zoomScaleNormal="80" workbookViewId="0">
      <selection activeCell="E54" sqref="E54"/>
    </sheetView>
  </sheetViews>
  <sheetFormatPr defaultColWidth="9.109375" defaultRowHeight="13.2" x14ac:dyDescent="0.25"/>
  <cols>
    <col min="1" max="1" width="2.6640625" style="5" customWidth="1"/>
    <col min="2" max="2" width="53.21875" style="5" customWidth="1"/>
    <col min="3" max="3" width="20.6640625" style="5" customWidth="1"/>
    <col min="4" max="4" width="2.6640625" style="6" customWidth="1"/>
    <col min="5" max="14" width="20.6640625" style="5" customWidth="1"/>
    <col min="15" max="15" width="11.44140625" style="5" bestFit="1" customWidth="1"/>
    <col min="16" max="16" width="42.88671875" style="5" bestFit="1" customWidth="1"/>
    <col min="17" max="17" width="23.5546875" style="5" bestFit="1" customWidth="1"/>
    <col min="18" max="16384" width="9.109375" style="5"/>
  </cols>
  <sheetData>
    <row r="1" spans="1:17" ht="39.75" customHeight="1" x14ac:dyDescent="0.4">
      <c r="A1" s="189"/>
      <c r="B1" s="190" t="s">
        <v>256</v>
      </c>
      <c r="C1" s="191" t="s">
        <v>15</v>
      </c>
      <c r="D1" s="192"/>
      <c r="E1" s="189"/>
      <c r="F1" s="189"/>
      <c r="G1" s="189"/>
      <c r="H1" s="189"/>
      <c r="I1" s="189"/>
      <c r="J1" s="189"/>
      <c r="K1" s="189"/>
      <c r="L1" s="189"/>
      <c r="M1" s="189"/>
      <c r="N1" s="189"/>
    </row>
    <row r="2" spans="1:17" ht="12.75" customHeight="1" x14ac:dyDescent="0.4">
      <c r="A2" s="189"/>
      <c r="B2" s="190"/>
      <c r="C2" s="193" t="s">
        <v>276</v>
      </c>
      <c r="D2" s="189"/>
      <c r="E2" s="224">
        <v>1</v>
      </c>
      <c r="F2" s="225">
        <v>2</v>
      </c>
      <c r="G2" s="225">
        <v>3</v>
      </c>
      <c r="H2" s="225">
        <v>4</v>
      </c>
      <c r="I2" s="225">
        <v>5</v>
      </c>
      <c r="J2" s="225">
        <v>6</v>
      </c>
      <c r="K2" s="225">
        <v>7</v>
      </c>
      <c r="L2" s="225">
        <v>8</v>
      </c>
      <c r="M2" s="225">
        <v>9</v>
      </c>
      <c r="N2" s="226">
        <v>10</v>
      </c>
    </row>
    <row r="3" spans="1:17" s="559" customFormat="1" ht="26.4" x14ac:dyDescent="0.25">
      <c r="A3" s="551"/>
      <c r="B3" s="552"/>
      <c r="C3" s="490" t="str">
        <f>INDEX(E3:N3,MATCH('Cash Flow Model'!$B$2,$E$3:$N$3,0))</f>
        <v>Blank site 2</v>
      </c>
      <c r="D3" s="553"/>
      <c r="E3" s="554" t="s">
        <v>288</v>
      </c>
      <c r="F3" s="555" t="s">
        <v>289</v>
      </c>
      <c r="G3" s="555" t="s">
        <v>290</v>
      </c>
      <c r="H3" s="555" t="s">
        <v>291</v>
      </c>
      <c r="I3" s="555" t="s">
        <v>292</v>
      </c>
      <c r="J3" s="555" t="s">
        <v>293</v>
      </c>
      <c r="K3" s="555" t="s">
        <v>295</v>
      </c>
      <c r="L3" s="556" t="s">
        <v>264</v>
      </c>
      <c r="M3" s="556" t="s">
        <v>284</v>
      </c>
      <c r="N3" s="557" t="s">
        <v>285</v>
      </c>
      <c r="O3" s="558"/>
    </row>
    <row r="4" spans="1:17" s="176" customFormat="1" ht="15" x14ac:dyDescent="0.25">
      <c r="A4" s="228"/>
      <c r="B4" s="535" t="s">
        <v>417</v>
      </c>
      <c r="C4" s="534" t="s">
        <v>357</v>
      </c>
      <c r="D4" s="229"/>
      <c r="E4" s="469" t="s">
        <v>307</v>
      </c>
      <c r="F4" s="470" t="s">
        <v>308</v>
      </c>
      <c r="G4" s="470" t="s">
        <v>309</v>
      </c>
      <c r="H4" s="470" t="s">
        <v>310</v>
      </c>
      <c r="I4" s="470" t="s">
        <v>311</v>
      </c>
      <c r="J4" s="470" t="s">
        <v>312</v>
      </c>
      <c r="K4" s="470" t="s">
        <v>313</v>
      </c>
      <c r="L4" s="471"/>
      <c r="M4" s="471"/>
      <c r="N4" s="472"/>
      <c r="O4" s="8"/>
      <c r="P4" s="5"/>
      <c r="Q4" s="177"/>
    </row>
    <row r="5" spans="1:17" ht="15" customHeight="1" x14ac:dyDescent="0.3">
      <c r="A5" s="189"/>
      <c r="B5" s="199" t="s">
        <v>255</v>
      </c>
      <c r="C5" s="230"/>
      <c r="D5" s="192"/>
      <c r="E5" s="189"/>
      <c r="F5" s="189"/>
      <c r="G5" s="189"/>
      <c r="H5" s="189"/>
      <c r="I5" s="189"/>
      <c r="J5" s="189"/>
      <c r="K5" s="189"/>
      <c r="L5" s="189"/>
      <c r="M5" s="189"/>
      <c r="N5" s="189"/>
      <c r="O5" s="8"/>
    </row>
    <row r="6" spans="1:17" ht="15" customHeight="1" x14ac:dyDescent="0.25">
      <c r="A6" s="189"/>
      <c r="B6" s="231" t="s">
        <v>223</v>
      </c>
      <c r="C6" s="220">
        <f t="shared" ref="C6:C12" si="0">INDEX(E6:N6,MATCH($C$3,$E$3:$N$3,0))</f>
        <v>0</v>
      </c>
      <c r="D6" s="192"/>
      <c r="E6" s="232">
        <v>3000</v>
      </c>
      <c r="F6" s="233">
        <v>3000</v>
      </c>
      <c r="G6" s="233">
        <v>3000</v>
      </c>
      <c r="H6" s="233">
        <v>3000</v>
      </c>
      <c r="I6" s="233">
        <v>3000</v>
      </c>
      <c r="J6" s="233">
        <v>3000</v>
      </c>
      <c r="K6" s="233">
        <v>3000</v>
      </c>
      <c r="L6" s="233"/>
      <c r="M6" s="233"/>
      <c r="N6" s="234"/>
      <c r="O6" s="8"/>
    </row>
    <row r="7" spans="1:17" ht="15" customHeight="1" x14ac:dyDescent="0.25">
      <c r="A7" s="189"/>
      <c r="B7" s="235" t="s">
        <v>216</v>
      </c>
      <c r="C7" s="223">
        <f t="shared" si="0"/>
        <v>0</v>
      </c>
      <c r="D7" s="192"/>
      <c r="E7" s="236">
        <v>1200</v>
      </c>
      <c r="F7" s="237">
        <v>1200</v>
      </c>
      <c r="G7" s="237">
        <v>1200</v>
      </c>
      <c r="H7" s="237">
        <v>1200</v>
      </c>
      <c r="I7" s="237">
        <v>1200</v>
      </c>
      <c r="J7" s="237">
        <v>1200</v>
      </c>
      <c r="K7" s="237">
        <v>1200</v>
      </c>
      <c r="L7" s="237"/>
      <c r="M7" s="237"/>
      <c r="N7" s="238"/>
      <c r="O7" s="8"/>
    </row>
    <row r="8" spans="1:17" ht="15" customHeight="1" x14ac:dyDescent="0.25">
      <c r="A8" s="189"/>
      <c r="B8" s="239" t="s">
        <v>331</v>
      </c>
      <c r="C8" s="282">
        <f>INDEX(E8:N8,MATCH($C$3,$E$3:$N$3,0))</f>
        <v>0</v>
      </c>
      <c r="D8" s="240"/>
      <c r="E8" s="278">
        <f>((E7+E6)*('Revenue sensitivities'!$D$13))</f>
        <v>1050</v>
      </c>
      <c r="F8" s="279">
        <f>((F7+F6)*('Revenue sensitivities'!$D$13))</f>
        <v>1050</v>
      </c>
      <c r="G8" s="279">
        <f>((G7+G6)*('Revenue sensitivities'!$D$13))</f>
        <v>1050</v>
      </c>
      <c r="H8" s="279">
        <f>((H7+H6)*('Revenue sensitivities'!$D$13))</f>
        <v>1050</v>
      </c>
      <c r="I8" s="279">
        <f>((I7+I6)*('Revenue sensitivities'!$D$13))</f>
        <v>1050</v>
      </c>
      <c r="J8" s="279">
        <f>((J7+J6)*('Revenue sensitivities'!$D$13))</f>
        <v>1050</v>
      </c>
      <c r="K8" s="279">
        <f>((K7+K6)*('Revenue sensitivities'!$D$13))</f>
        <v>1050</v>
      </c>
      <c r="L8" s="241"/>
      <c r="M8" s="241"/>
      <c r="N8" s="242"/>
      <c r="O8" s="8"/>
    </row>
    <row r="9" spans="1:17" ht="15" customHeight="1" x14ac:dyDescent="0.25">
      <c r="A9" s="189"/>
      <c r="B9" s="243" t="s">
        <v>244</v>
      </c>
      <c r="C9" s="283">
        <f>INDEX(E9:N9,MATCH($C$3,$E$3:$N$3,0))</f>
        <v>0</v>
      </c>
      <c r="D9" s="192"/>
      <c r="E9" s="280">
        <f>SUM(E6:E8)</f>
        <v>5250</v>
      </c>
      <c r="F9" s="281">
        <f t="shared" ref="F9:N9" si="1">SUM(F6:F8)</f>
        <v>5250</v>
      </c>
      <c r="G9" s="281">
        <f t="shared" si="1"/>
        <v>5250</v>
      </c>
      <c r="H9" s="281">
        <f t="shared" si="1"/>
        <v>5250</v>
      </c>
      <c r="I9" s="281">
        <f t="shared" si="1"/>
        <v>5250</v>
      </c>
      <c r="J9" s="281">
        <f t="shared" si="1"/>
        <v>5250</v>
      </c>
      <c r="K9" s="281">
        <f t="shared" si="1"/>
        <v>5250</v>
      </c>
      <c r="L9" s="281">
        <f t="shared" si="1"/>
        <v>0</v>
      </c>
      <c r="M9" s="281">
        <f t="shared" si="1"/>
        <v>0</v>
      </c>
      <c r="N9" s="449">
        <f t="shared" si="1"/>
        <v>0</v>
      </c>
    </row>
    <row r="10" spans="1:17" ht="15" customHeight="1" x14ac:dyDescent="0.25">
      <c r="A10" s="189"/>
      <c r="B10" s="189"/>
      <c r="C10" s="189"/>
      <c r="D10" s="189"/>
      <c r="E10" s="244"/>
      <c r="F10" s="244"/>
      <c r="G10" s="244"/>
      <c r="H10" s="244"/>
      <c r="I10" s="244"/>
      <c r="J10" s="244"/>
      <c r="K10" s="244"/>
      <c r="L10" s="244"/>
      <c r="M10" s="189"/>
      <c r="N10" s="189"/>
    </row>
    <row r="11" spans="1:17" ht="15" customHeight="1" x14ac:dyDescent="0.25">
      <c r="A11" s="189"/>
      <c r="B11" s="245" t="s">
        <v>19</v>
      </c>
      <c r="C11" s="290">
        <f t="shared" si="0"/>
        <v>0</v>
      </c>
      <c r="D11" s="192"/>
      <c r="E11" s="473">
        <f>500*750</f>
        <v>375000</v>
      </c>
      <c r="F11" s="474">
        <f t="shared" ref="F11" si="2">500*750</f>
        <v>375000</v>
      </c>
      <c r="G11" s="474">
        <f>300*750</f>
        <v>225000</v>
      </c>
      <c r="H11" s="474">
        <f t="shared" ref="H11:J11" si="3">300*750</f>
        <v>225000</v>
      </c>
      <c r="I11" s="474">
        <f t="shared" si="3"/>
        <v>225000</v>
      </c>
      <c r="J11" s="474">
        <f t="shared" si="3"/>
        <v>225000</v>
      </c>
      <c r="K11" s="474">
        <f>500*750</f>
        <v>375000</v>
      </c>
      <c r="L11" s="475"/>
      <c r="M11" s="475"/>
      <c r="N11" s="476"/>
    </row>
    <row r="12" spans="1:17" ht="15" customHeight="1" x14ac:dyDescent="0.25">
      <c r="A12" s="189"/>
      <c r="B12" s="210" t="s">
        <v>332</v>
      </c>
      <c r="C12" s="291">
        <f t="shared" si="0"/>
        <v>0</v>
      </c>
      <c r="D12" s="192"/>
      <c r="E12" s="298">
        <f>3100+500</f>
        <v>3600</v>
      </c>
      <c r="F12" s="299">
        <f t="shared" ref="F12:K12" si="4">3100+500</f>
        <v>3600</v>
      </c>
      <c r="G12" s="299">
        <f t="shared" si="4"/>
        <v>3600</v>
      </c>
      <c r="H12" s="299">
        <f t="shared" si="4"/>
        <v>3600</v>
      </c>
      <c r="I12" s="299">
        <f t="shared" si="4"/>
        <v>3600</v>
      </c>
      <c r="J12" s="299">
        <f t="shared" si="4"/>
        <v>3600</v>
      </c>
      <c r="K12" s="299">
        <f t="shared" si="4"/>
        <v>3600</v>
      </c>
      <c r="L12" s="255"/>
      <c r="M12" s="255"/>
      <c r="N12" s="256"/>
    </row>
    <row r="13" spans="1:17" ht="15" customHeight="1" x14ac:dyDescent="0.25">
      <c r="A13" s="189"/>
      <c r="B13" s="210" t="s">
        <v>209</v>
      </c>
      <c r="C13" s="291">
        <f>INDEX(E13:N13,MATCH($C$3,$E$3:$N$3,0))</f>
        <v>0</v>
      </c>
      <c r="D13" s="192"/>
      <c r="E13" s="298">
        <f>E11*0.01</f>
        <v>3750</v>
      </c>
      <c r="F13" s="299">
        <f t="shared" ref="F13:J13" si="5">F11*0.01</f>
        <v>3750</v>
      </c>
      <c r="G13" s="299">
        <f t="shared" si="5"/>
        <v>2250</v>
      </c>
      <c r="H13" s="299">
        <f t="shared" si="5"/>
        <v>2250</v>
      </c>
      <c r="I13" s="299">
        <f t="shared" si="5"/>
        <v>2250</v>
      </c>
      <c r="J13" s="299">
        <f t="shared" si="5"/>
        <v>2250</v>
      </c>
      <c r="K13" s="299">
        <f t="shared" ref="K13:N13" si="6">K11*0.01</f>
        <v>3750</v>
      </c>
      <c r="L13" s="299">
        <f t="shared" si="6"/>
        <v>0</v>
      </c>
      <c r="M13" s="299">
        <f t="shared" si="6"/>
        <v>0</v>
      </c>
      <c r="N13" s="451">
        <f t="shared" si="6"/>
        <v>0</v>
      </c>
    </row>
    <row r="14" spans="1:17" ht="15" customHeight="1" x14ac:dyDescent="0.3">
      <c r="A14" s="189"/>
      <c r="B14" s="213" t="s">
        <v>358</v>
      </c>
      <c r="C14" s="291">
        <f>INDEX(E14:N14,MATCH($C$3,$E$3:$N$3,0))</f>
        <v>0</v>
      </c>
      <c r="D14" s="192"/>
      <c r="E14" s="246">
        <v>5000</v>
      </c>
      <c r="F14" s="247">
        <v>5000</v>
      </c>
      <c r="G14" s="247">
        <v>5000</v>
      </c>
      <c r="H14" s="247">
        <v>5000</v>
      </c>
      <c r="I14" s="247">
        <v>5000</v>
      </c>
      <c r="J14" s="247">
        <v>500</v>
      </c>
      <c r="K14" s="247">
        <v>5000</v>
      </c>
      <c r="L14" s="247"/>
      <c r="M14" s="247"/>
      <c r="N14" s="248"/>
    </row>
    <row r="15" spans="1:17" ht="15" customHeight="1" x14ac:dyDescent="0.25">
      <c r="A15" s="189"/>
      <c r="B15" s="249" t="s">
        <v>221</v>
      </c>
      <c r="C15" s="292">
        <f>INDEX(E15:N15,MATCH($C$3,$E$3:$N$3,0))</f>
        <v>0</v>
      </c>
      <c r="D15" s="192"/>
      <c r="E15" s="284">
        <f>SUM(E11:E14)</f>
        <v>387350</v>
      </c>
      <c r="F15" s="285">
        <f t="shared" ref="F15:J15" si="7">SUM(F11:F14)</f>
        <v>387350</v>
      </c>
      <c r="G15" s="285">
        <f t="shared" si="7"/>
        <v>235850</v>
      </c>
      <c r="H15" s="285">
        <f t="shared" si="7"/>
        <v>235850</v>
      </c>
      <c r="I15" s="285">
        <f t="shared" si="7"/>
        <v>235850</v>
      </c>
      <c r="J15" s="285">
        <f t="shared" si="7"/>
        <v>231350</v>
      </c>
      <c r="K15" s="285">
        <f t="shared" ref="K15:N15" si="8">SUM(K11:K14)</f>
        <v>387350</v>
      </c>
      <c r="L15" s="285">
        <f t="shared" si="8"/>
        <v>0</v>
      </c>
      <c r="M15" s="285">
        <f t="shared" si="8"/>
        <v>0</v>
      </c>
      <c r="N15" s="447">
        <f t="shared" si="8"/>
        <v>0</v>
      </c>
    </row>
    <row r="16" spans="1:17" ht="15" customHeight="1" x14ac:dyDescent="0.25">
      <c r="A16" s="189"/>
      <c r="B16" s="210" t="s">
        <v>227</v>
      </c>
      <c r="C16" s="291">
        <f>INDEX(E16:N16,MATCH($C$3,$E$3:$N$3,0))</f>
        <v>0</v>
      </c>
      <c r="D16" s="192"/>
      <c r="E16" s="286">
        <f>SUM(E11:E13)*'Revenue sensitivities'!$D$13+(E14*'Revenue sensitivities'!$D$15)</f>
        <v>95587.5</v>
      </c>
      <c r="F16" s="287">
        <f>SUM(F11:F13)*'Revenue sensitivities'!$D$13+(F14*'Revenue sensitivities'!$D$15)</f>
        <v>95587.5</v>
      </c>
      <c r="G16" s="287">
        <f>SUM(G11:G13)*'Revenue sensitivities'!$D$13+(G14*'Revenue sensitivities'!$D$15)</f>
        <v>57712.5</v>
      </c>
      <c r="H16" s="287">
        <f>SUM(H11:H13)*'Revenue sensitivities'!$D$13+(H14*'Revenue sensitivities'!$D$15)</f>
        <v>57712.5</v>
      </c>
      <c r="I16" s="287">
        <f>SUM(I11:I13)*'Revenue sensitivities'!$D$13+(I14*'Revenue sensitivities'!$D$15)</f>
        <v>57712.5</v>
      </c>
      <c r="J16" s="287">
        <f>SUM(J11:J13)*'Revenue sensitivities'!$D$13+(J14*'Revenue sensitivities'!$D$15)</f>
        <v>57712.5</v>
      </c>
      <c r="K16" s="287">
        <f>SUM(K11:K13)*'Revenue sensitivities'!$D$13+(K14*'Revenue sensitivities'!$D$15)</f>
        <v>95587.5</v>
      </c>
      <c r="L16" s="250"/>
      <c r="M16" s="250"/>
      <c r="N16" s="251"/>
    </row>
    <row r="17" spans="1:14" ht="15" customHeight="1" x14ac:dyDescent="0.25">
      <c r="A17" s="189"/>
      <c r="B17" s="252" t="s">
        <v>222</v>
      </c>
      <c r="C17" s="293">
        <f>INDEX(E17:N17,MATCH($C$3,$E$3:$N$3,0))</f>
        <v>0</v>
      </c>
      <c r="D17" s="192"/>
      <c r="E17" s="288">
        <f>E15+E9+E16</f>
        <v>488187.5</v>
      </c>
      <c r="F17" s="289">
        <f t="shared" ref="F17:J17" si="9">F15+F9+F16</f>
        <v>488187.5</v>
      </c>
      <c r="G17" s="289">
        <f t="shared" si="9"/>
        <v>298812.5</v>
      </c>
      <c r="H17" s="289">
        <f t="shared" si="9"/>
        <v>298812.5</v>
      </c>
      <c r="I17" s="289">
        <f t="shared" si="9"/>
        <v>298812.5</v>
      </c>
      <c r="J17" s="289">
        <f t="shared" si="9"/>
        <v>294312.5</v>
      </c>
      <c r="K17" s="289">
        <f t="shared" ref="K17:N17" si="10">K15+K9+K16</f>
        <v>488187.5</v>
      </c>
      <c r="L17" s="289">
        <f t="shared" si="10"/>
        <v>0</v>
      </c>
      <c r="M17" s="289">
        <f t="shared" si="10"/>
        <v>0</v>
      </c>
      <c r="N17" s="448">
        <f t="shared" si="10"/>
        <v>0</v>
      </c>
    </row>
    <row r="18" spans="1:14" ht="15" customHeight="1" x14ac:dyDescent="0.25">
      <c r="A18" s="189"/>
      <c r="B18" s="253"/>
      <c r="C18" s="254"/>
      <c r="D18" s="192"/>
      <c r="E18" s="254"/>
      <c r="F18" s="254"/>
      <c r="G18" s="254"/>
      <c r="H18" s="254"/>
      <c r="I18" s="254"/>
      <c r="J18" s="254"/>
      <c r="K18" s="254"/>
      <c r="L18" s="254"/>
      <c r="M18" s="254"/>
      <c r="N18" s="254"/>
    </row>
    <row r="19" spans="1:14" ht="15" customHeight="1" x14ac:dyDescent="0.25">
      <c r="A19" s="189"/>
      <c r="B19" s="535" t="s">
        <v>418</v>
      </c>
      <c r="C19" s="254"/>
      <c r="D19" s="192"/>
      <c r="E19" s="254"/>
      <c r="F19" s="254"/>
      <c r="G19" s="254"/>
      <c r="H19" s="254"/>
      <c r="I19" s="254"/>
      <c r="J19" s="254"/>
      <c r="K19" s="254"/>
      <c r="L19" s="254"/>
      <c r="M19" s="254"/>
      <c r="N19" s="254"/>
    </row>
    <row r="20" spans="1:14" ht="15" customHeight="1" x14ac:dyDescent="0.25">
      <c r="A20" s="189"/>
      <c r="B20" s="245" t="s">
        <v>359</v>
      </c>
      <c r="C20" s="300">
        <f>INDEX(E20:N20,MATCH($C$3,$E$3:$N$3,0))</f>
        <v>0</v>
      </c>
      <c r="D20" s="192"/>
      <c r="E20" s="294">
        <f>E9</f>
        <v>5250</v>
      </c>
      <c r="F20" s="295">
        <f t="shared" ref="F20:N20" si="11">F9</f>
        <v>5250</v>
      </c>
      <c r="G20" s="295">
        <f t="shared" si="11"/>
        <v>5250</v>
      </c>
      <c r="H20" s="295">
        <f t="shared" si="11"/>
        <v>5250</v>
      </c>
      <c r="I20" s="295">
        <f t="shared" si="11"/>
        <v>5250</v>
      </c>
      <c r="J20" s="295">
        <f t="shared" si="11"/>
        <v>5250</v>
      </c>
      <c r="K20" s="295">
        <f t="shared" si="11"/>
        <v>5250</v>
      </c>
      <c r="L20" s="295">
        <f t="shared" si="11"/>
        <v>0</v>
      </c>
      <c r="M20" s="295">
        <f t="shared" si="11"/>
        <v>0</v>
      </c>
      <c r="N20" s="450">
        <f t="shared" si="11"/>
        <v>0</v>
      </c>
    </row>
    <row r="21" spans="1:14" ht="15" customHeight="1" x14ac:dyDescent="0.25">
      <c r="A21" s="189"/>
      <c r="B21" s="210" t="s">
        <v>224</v>
      </c>
      <c r="C21" s="301">
        <f>INDEX(E21:N21,MATCH($C$3,$E$3:$N$3,0))</f>
        <v>0</v>
      </c>
      <c r="D21" s="192"/>
      <c r="E21" s="296">
        <f t="shared" ref="E21:J21" si="12">MIN(E17*0.6,71185)</f>
        <v>71185</v>
      </c>
      <c r="F21" s="297">
        <f t="shared" si="12"/>
        <v>71185</v>
      </c>
      <c r="G21" s="297">
        <f t="shared" si="12"/>
        <v>71185</v>
      </c>
      <c r="H21" s="297">
        <f t="shared" si="12"/>
        <v>71185</v>
      </c>
      <c r="I21" s="297">
        <f t="shared" si="12"/>
        <v>71185</v>
      </c>
      <c r="J21" s="297">
        <f t="shared" si="12"/>
        <v>71185</v>
      </c>
      <c r="K21" s="237">
        <v>0</v>
      </c>
      <c r="L21" s="237"/>
      <c r="M21" s="237"/>
      <c r="N21" s="238"/>
    </row>
    <row r="22" spans="1:14" ht="14.25" customHeight="1" x14ac:dyDescent="0.25">
      <c r="A22" s="189"/>
      <c r="B22" s="275" t="s">
        <v>225</v>
      </c>
      <c r="C22" s="293">
        <f>INDEX(E22:N22,MATCH($C$3,$E$3:$N$3,0))</f>
        <v>0</v>
      </c>
      <c r="D22" s="192"/>
      <c r="E22" s="531">
        <f t="shared" ref="E22:N22" si="13">MIN(200000,E17-E20-E21)</f>
        <v>200000</v>
      </c>
      <c r="F22" s="532">
        <f t="shared" si="13"/>
        <v>200000</v>
      </c>
      <c r="G22" s="532">
        <f t="shared" si="13"/>
        <v>200000</v>
      </c>
      <c r="H22" s="532">
        <f t="shared" si="13"/>
        <v>200000</v>
      </c>
      <c r="I22" s="532">
        <f t="shared" si="13"/>
        <v>200000</v>
      </c>
      <c r="J22" s="532">
        <f t="shared" si="13"/>
        <v>200000</v>
      </c>
      <c r="K22" s="532">
        <f t="shared" si="13"/>
        <v>200000</v>
      </c>
      <c r="L22" s="532">
        <f t="shared" si="13"/>
        <v>0</v>
      </c>
      <c r="M22" s="532">
        <f t="shared" si="13"/>
        <v>0</v>
      </c>
      <c r="N22" s="533">
        <f t="shared" si="13"/>
        <v>0</v>
      </c>
    </row>
    <row r="23" spans="1:14" x14ac:dyDescent="0.25">
      <c r="B23" s="535" t="s">
        <v>419</v>
      </c>
    </row>
    <row r="24" spans="1:14" ht="15" customHeight="1" x14ac:dyDescent="0.25">
      <c r="A24" s="189"/>
      <c r="B24" s="542" t="s">
        <v>220</v>
      </c>
      <c r="C24" s="543">
        <f>INDEX(E24:N24,MATCH($C$3,$E$3:$N$3,0))</f>
        <v>0</v>
      </c>
      <c r="D24" s="192"/>
      <c r="E24" s="536">
        <f t="shared" ref="E24:N24" si="14">E17-E20-E21-E22</f>
        <v>211752.5</v>
      </c>
      <c r="F24" s="537">
        <f t="shared" si="14"/>
        <v>211752.5</v>
      </c>
      <c r="G24" s="537">
        <f t="shared" si="14"/>
        <v>22377.5</v>
      </c>
      <c r="H24" s="537">
        <f t="shared" si="14"/>
        <v>22377.5</v>
      </c>
      <c r="I24" s="537">
        <f t="shared" si="14"/>
        <v>22377.5</v>
      </c>
      <c r="J24" s="537">
        <f t="shared" si="14"/>
        <v>17877.5</v>
      </c>
      <c r="K24" s="537">
        <f t="shared" si="14"/>
        <v>282937.5</v>
      </c>
      <c r="L24" s="537">
        <f t="shared" si="14"/>
        <v>0</v>
      </c>
      <c r="M24" s="537">
        <f t="shared" si="14"/>
        <v>0</v>
      </c>
      <c r="N24" s="538">
        <f t="shared" si="14"/>
        <v>0</v>
      </c>
    </row>
    <row r="25" spans="1:14" ht="15" customHeight="1" x14ac:dyDescent="0.25">
      <c r="A25" s="189"/>
      <c r="B25" s="231" t="s">
        <v>28</v>
      </c>
      <c r="C25" s="545" t="str">
        <f>INDEX(E25:N25,MATCH($C$3,$E$3:$N$3,0))</f>
        <v>Standard APR</v>
      </c>
      <c r="D25" s="192"/>
      <c r="E25" s="539" t="s">
        <v>29</v>
      </c>
      <c r="F25" s="540" t="s">
        <v>29</v>
      </c>
      <c r="G25" s="540" t="s">
        <v>29</v>
      </c>
      <c r="H25" s="540" t="s">
        <v>29</v>
      </c>
      <c r="I25" s="540" t="s">
        <v>29</v>
      </c>
      <c r="J25" s="540" t="s">
        <v>29</v>
      </c>
      <c r="K25" s="540" t="s">
        <v>29</v>
      </c>
      <c r="L25" s="540" t="s">
        <v>29</v>
      </c>
      <c r="M25" s="540" t="s">
        <v>29</v>
      </c>
      <c r="N25" s="541" t="s">
        <v>29</v>
      </c>
    </row>
    <row r="26" spans="1:14" ht="15" customHeight="1" x14ac:dyDescent="0.25">
      <c r="A26" s="189"/>
      <c r="B26" s="489" t="s">
        <v>184</v>
      </c>
      <c r="C26" s="544">
        <f>INDEX(E26:N26,MATCH($C$3,$E$3:$N$3,0))</f>
        <v>0</v>
      </c>
      <c r="D26" s="192"/>
      <c r="E26" s="546">
        <v>10</v>
      </c>
      <c r="F26" s="547">
        <v>10</v>
      </c>
      <c r="G26" s="547">
        <v>10</v>
      </c>
      <c r="H26" s="547">
        <v>10</v>
      </c>
      <c r="I26" s="547">
        <v>10</v>
      </c>
      <c r="J26" s="547">
        <v>10</v>
      </c>
      <c r="K26" s="547">
        <v>10</v>
      </c>
      <c r="L26" s="547">
        <v>0</v>
      </c>
      <c r="M26" s="547">
        <v>0</v>
      </c>
      <c r="N26" s="548">
        <v>0</v>
      </c>
    </row>
    <row r="27" spans="1:14" ht="15" customHeight="1" x14ac:dyDescent="0.25">
      <c r="A27" s="189"/>
      <c r="B27" s="189"/>
      <c r="C27" s="230"/>
      <c r="D27" s="257" t="s">
        <v>226</v>
      </c>
      <c r="E27" s="302" t="str">
        <f t="shared" ref="E27:N27" si="15">IF(SUM(E20:E24)=E17,"ok","err")</f>
        <v>ok</v>
      </c>
      <c r="F27" s="302" t="str">
        <f t="shared" si="15"/>
        <v>ok</v>
      </c>
      <c r="G27" s="302" t="str">
        <f t="shared" si="15"/>
        <v>ok</v>
      </c>
      <c r="H27" s="302" t="str">
        <f t="shared" si="15"/>
        <v>ok</v>
      </c>
      <c r="I27" s="302" t="str">
        <f t="shared" si="15"/>
        <v>ok</v>
      </c>
      <c r="J27" s="302" t="str">
        <f t="shared" si="15"/>
        <v>ok</v>
      </c>
      <c r="K27" s="302" t="str">
        <f t="shared" si="15"/>
        <v>ok</v>
      </c>
      <c r="L27" s="302" t="str">
        <f t="shared" si="15"/>
        <v>ok</v>
      </c>
      <c r="M27" s="302" t="str">
        <f t="shared" si="15"/>
        <v>ok</v>
      </c>
      <c r="N27" s="302" t="str">
        <f t="shared" si="15"/>
        <v>ok</v>
      </c>
    </row>
    <row r="28" spans="1:14" ht="15" customHeight="1" x14ac:dyDescent="0.25">
      <c r="A28" s="189"/>
      <c r="B28" s="189"/>
      <c r="C28" s="230"/>
      <c r="D28" s="257" t="s">
        <v>424</v>
      </c>
      <c r="E28" s="302" t="str">
        <f>IF(E26&lt;='Global assumptions'!$D$7,"ok","err. - exceeds model life")</f>
        <v>ok</v>
      </c>
      <c r="F28" s="302" t="str">
        <f>IF(F26&lt;='Global assumptions'!$D$7,"ok","err. - exceeds model life")</f>
        <v>ok</v>
      </c>
      <c r="G28" s="302" t="str">
        <f>IF(G26&lt;='Global assumptions'!$D$7,"ok","err. - exceeds model life")</f>
        <v>ok</v>
      </c>
      <c r="H28" s="302" t="str">
        <f>IF(H26&lt;='Global assumptions'!$D$7,"ok","err. - exceeds model life")</f>
        <v>ok</v>
      </c>
      <c r="I28" s="302" t="str">
        <f>IF(I26&lt;='Global assumptions'!$D$7,"ok","err. - exceeds model life")</f>
        <v>ok</v>
      </c>
      <c r="J28" s="302" t="str">
        <f>IF(J26&lt;='Global assumptions'!$D$7,"ok","err. - exceeds model life")</f>
        <v>ok</v>
      </c>
      <c r="K28" s="302" t="str">
        <f>IF(K26&lt;='Global assumptions'!$D$7,"ok","err. - exceeds model life")</f>
        <v>ok</v>
      </c>
      <c r="L28" s="302" t="str">
        <f>IF(L26&lt;='Global assumptions'!$D$7,"ok","err. - exceeds model life")</f>
        <v>ok</v>
      </c>
      <c r="M28" s="302" t="str">
        <f>IF(M26&lt;='Global assumptions'!$D$7,"ok","err. - exceeds model life")</f>
        <v>ok</v>
      </c>
      <c r="N28" s="302" t="str">
        <f>IF(N26&lt;='Global assumptions'!$D$7,"ok","err. - exceeds model life")</f>
        <v>ok</v>
      </c>
    </row>
    <row r="29" spans="1:14" ht="21" x14ac:dyDescent="0.4">
      <c r="A29" s="189"/>
      <c r="B29" s="190" t="s">
        <v>260</v>
      </c>
      <c r="C29" s="189"/>
      <c r="D29" s="253"/>
      <c r="E29" s="189"/>
      <c r="F29" s="189"/>
      <c r="G29" s="189"/>
      <c r="H29" s="189"/>
      <c r="I29" s="189"/>
      <c r="J29" s="189"/>
      <c r="K29" s="189"/>
      <c r="L29" s="189"/>
      <c r="M29" s="189"/>
      <c r="N29" s="189"/>
    </row>
    <row r="30" spans="1:14" x14ac:dyDescent="0.25">
      <c r="A30" s="189"/>
      <c r="B30" s="264" t="s">
        <v>428</v>
      </c>
      <c r="C30" s="608">
        <f t="shared" ref="C30:C33" si="16">INDEX(E30:N30,MATCH($C$3,$E$3:$N$3,0))</f>
        <v>0</v>
      </c>
      <c r="D30" s="189"/>
      <c r="E30" s="610">
        <f>'Energy generation (by site)'!E9*5/1000*1.1</f>
        <v>2.75</v>
      </c>
      <c r="F30" s="611">
        <f>'Energy generation (by site)'!F9*5/1000*1.1</f>
        <v>2.75</v>
      </c>
      <c r="G30" s="611">
        <f>'Energy generation (by site)'!G9*5/1000*1.1</f>
        <v>1.6500000000000001</v>
      </c>
      <c r="H30" s="611">
        <f>'Energy generation (by site)'!H9*5/1000*1.1</f>
        <v>1.6500000000000001</v>
      </c>
      <c r="I30" s="611">
        <f>'Energy generation (by site)'!I9*5/1000*1.1</f>
        <v>1.6500000000000001</v>
      </c>
      <c r="J30" s="611">
        <f>'Energy generation (by site)'!J9*5/1000*1.1</f>
        <v>1.6500000000000001</v>
      </c>
      <c r="K30" s="611">
        <f>'Energy generation (by site)'!K9*5/1000*1.1</f>
        <v>1.6500000000000001</v>
      </c>
      <c r="L30" s="611">
        <f>'Energy generation (by site)'!L9*5/1000*1.1</f>
        <v>0</v>
      </c>
      <c r="M30" s="611">
        <f>'Energy generation (by site)'!M9*5/1000*1.1</f>
        <v>0</v>
      </c>
      <c r="N30" s="612">
        <f>'Energy generation (by site)'!N9*5/1000*1.1</f>
        <v>0</v>
      </c>
    </row>
    <row r="31" spans="1:14" ht="15" customHeight="1" x14ac:dyDescent="0.25">
      <c r="A31" s="189"/>
      <c r="B31" s="235" t="s">
        <v>429</v>
      </c>
      <c r="C31" s="609">
        <f t="shared" si="16"/>
        <v>0</v>
      </c>
      <c r="D31" s="192"/>
      <c r="E31" s="236">
        <v>500</v>
      </c>
      <c r="F31" s="237">
        <v>1000</v>
      </c>
      <c r="G31" s="237">
        <v>500</v>
      </c>
      <c r="H31" s="237">
        <v>1000</v>
      </c>
      <c r="I31" s="237">
        <v>500</v>
      </c>
      <c r="J31" s="237">
        <v>1000</v>
      </c>
      <c r="K31" s="237">
        <v>500</v>
      </c>
      <c r="L31" s="237"/>
      <c r="M31" s="237"/>
      <c r="N31" s="238"/>
    </row>
    <row r="32" spans="1:14" ht="15" customHeight="1" x14ac:dyDescent="0.25">
      <c r="A32" s="189"/>
      <c r="B32" s="489" t="s">
        <v>430</v>
      </c>
      <c r="C32" s="607">
        <f t="shared" si="16"/>
        <v>0</v>
      </c>
      <c r="D32" s="257"/>
      <c r="E32" s="613">
        <f t="shared" ref="E32:N32" si="17">E30*E31</f>
        <v>1375</v>
      </c>
      <c r="F32" s="614">
        <f t="shared" si="17"/>
        <v>2750</v>
      </c>
      <c r="G32" s="614">
        <f t="shared" si="17"/>
        <v>825.00000000000011</v>
      </c>
      <c r="H32" s="614">
        <f t="shared" si="17"/>
        <v>1650.0000000000002</v>
      </c>
      <c r="I32" s="614">
        <f t="shared" si="17"/>
        <v>825.00000000000011</v>
      </c>
      <c r="J32" s="614">
        <f t="shared" si="17"/>
        <v>1650.0000000000002</v>
      </c>
      <c r="K32" s="614">
        <f t="shared" si="17"/>
        <v>825.00000000000011</v>
      </c>
      <c r="L32" s="614">
        <f t="shared" si="17"/>
        <v>0</v>
      </c>
      <c r="M32" s="614">
        <f t="shared" si="17"/>
        <v>0</v>
      </c>
      <c r="N32" s="615">
        <f t="shared" si="17"/>
        <v>0</v>
      </c>
    </row>
    <row r="33" spans="1:14" ht="15" customHeight="1" x14ac:dyDescent="0.25">
      <c r="A33" s="189"/>
      <c r="B33" s="489" t="s">
        <v>427</v>
      </c>
      <c r="C33" s="607">
        <f t="shared" si="16"/>
        <v>0</v>
      </c>
      <c r="D33" s="192"/>
      <c r="E33" s="259"/>
      <c r="F33" s="260"/>
      <c r="G33" s="260"/>
      <c r="H33" s="260"/>
      <c r="I33" s="260"/>
      <c r="J33" s="260"/>
      <c r="K33" s="260"/>
      <c r="L33" s="260"/>
      <c r="M33" s="260"/>
      <c r="N33" s="261"/>
    </row>
    <row r="34" spans="1:14" ht="15" customHeight="1" x14ac:dyDescent="0.25">
      <c r="A34" s="189"/>
      <c r="B34" s="239" t="s">
        <v>431</v>
      </c>
      <c r="C34" s="293">
        <f>INDEX(E34:N34,MATCH($C$3,$E$3:$N$3,0))</f>
        <v>0</v>
      </c>
      <c r="D34" s="192"/>
      <c r="E34" s="604">
        <f>E32+E33</f>
        <v>1375</v>
      </c>
      <c r="F34" s="605">
        <f t="shared" ref="F34:N34" si="18">F32+F33</f>
        <v>2750</v>
      </c>
      <c r="G34" s="605">
        <f t="shared" si="18"/>
        <v>825.00000000000011</v>
      </c>
      <c r="H34" s="605">
        <f t="shared" si="18"/>
        <v>1650.0000000000002</v>
      </c>
      <c r="I34" s="605">
        <f t="shared" si="18"/>
        <v>825.00000000000011</v>
      </c>
      <c r="J34" s="605">
        <f t="shared" si="18"/>
        <v>1650.0000000000002</v>
      </c>
      <c r="K34" s="605">
        <f t="shared" si="18"/>
        <v>825.00000000000011</v>
      </c>
      <c r="L34" s="605">
        <f t="shared" si="18"/>
        <v>0</v>
      </c>
      <c r="M34" s="605">
        <f t="shared" si="18"/>
        <v>0</v>
      </c>
      <c r="N34" s="606">
        <f t="shared" si="18"/>
        <v>0</v>
      </c>
    </row>
    <row r="35" spans="1:14" ht="15" customHeight="1" x14ac:dyDescent="0.25">
      <c r="A35" s="189"/>
      <c r="B35" s="189"/>
      <c r="C35" s="230"/>
      <c r="D35" s="257"/>
      <c r="E35" s="258"/>
      <c r="F35" s="258"/>
      <c r="G35" s="258"/>
      <c r="H35" s="258"/>
      <c r="I35" s="258"/>
      <c r="J35" s="258"/>
      <c r="K35" s="258"/>
      <c r="L35" s="258"/>
      <c r="M35" s="258"/>
      <c r="N35" s="258"/>
    </row>
    <row r="36" spans="1:14" ht="21" x14ac:dyDescent="0.4">
      <c r="A36" s="189"/>
      <c r="B36" s="190" t="s">
        <v>41</v>
      </c>
      <c r="C36" s="230"/>
      <c r="D36" s="192"/>
      <c r="E36" s="189"/>
      <c r="F36" s="189"/>
      <c r="G36" s="189"/>
      <c r="H36" s="189"/>
      <c r="I36" s="189"/>
      <c r="J36" s="189"/>
      <c r="K36" s="189"/>
      <c r="L36" s="189"/>
      <c r="M36" s="189"/>
      <c r="N36" s="189"/>
    </row>
    <row r="37" spans="1:14" x14ac:dyDescent="0.25">
      <c r="A37" s="189"/>
      <c r="B37" s="227" t="s">
        <v>16</v>
      </c>
      <c r="C37" s="262" t="s">
        <v>252</v>
      </c>
      <c r="D37" s="263"/>
      <c r="E37" s="724" t="s">
        <v>468</v>
      </c>
      <c r="F37" s="725"/>
      <c r="G37" s="725"/>
      <c r="H37" s="725"/>
      <c r="I37" s="725"/>
      <c r="J37" s="725"/>
      <c r="K37" s="725"/>
      <c r="L37" s="725"/>
      <c r="M37" s="726"/>
      <c r="N37" s="189"/>
    </row>
    <row r="38" spans="1:14" ht="25.5" customHeight="1" x14ac:dyDescent="0.25">
      <c r="A38" s="189"/>
      <c r="B38" s="264" t="s">
        <v>62</v>
      </c>
      <c r="C38" s="265">
        <v>0</v>
      </c>
      <c r="D38" s="189"/>
      <c r="E38" s="733" t="s">
        <v>360</v>
      </c>
      <c r="F38" s="734"/>
      <c r="G38" s="734"/>
      <c r="H38" s="734"/>
      <c r="I38" s="734"/>
      <c r="J38" s="734"/>
      <c r="K38" s="734"/>
      <c r="L38" s="734"/>
      <c r="M38" s="735"/>
      <c r="N38" s="189"/>
    </row>
    <row r="39" spans="1:14" x14ac:dyDescent="0.25">
      <c r="A39" s="189"/>
      <c r="B39" s="266" t="s">
        <v>63</v>
      </c>
      <c r="C39" s="267">
        <v>0</v>
      </c>
      <c r="D39" s="189"/>
      <c r="E39" s="727" t="s">
        <v>246</v>
      </c>
      <c r="F39" s="728"/>
      <c r="G39" s="728"/>
      <c r="H39" s="728"/>
      <c r="I39" s="728"/>
      <c r="J39" s="728"/>
      <c r="K39" s="728"/>
      <c r="L39" s="728"/>
      <c r="M39" s="729"/>
      <c r="N39" s="189"/>
    </row>
    <row r="40" spans="1:14" x14ac:dyDescent="0.25">
      <c r="A40" s="189"/>
      <c r="B40" s="266" t="s">
        <v>65</v>
      </c>
      <c r="C40" s="267">
        <v>1000</v>
      </c>
      <c r="D40" s="189"/>
      <c r="E40" s="727" t="s">
        <v>247</v>
      </c>
      <c r="F40" s="728"/>
      <c r="G40" s="728"/>
      <c r="H40" s="728"/>
      <c r="I40" s="728"/>
      <c r="J40" s="728"/>
      <c r="K40" s="728"/>
      <c r="L40" s="728"/>
      <c r="M40" s="729"/>
      <c r="N40" s="189"/>
    </row>
    <row r="41" spans="1:14" x14ac:dyDescent="0.25">
      <c r="A41" s="189"/>
      <c r="B41" s="266" t="s">
        <v>66</v>
      </c>
      <c r="C41" s="303">
        <f>SUM('Cash Flow Model'!D19:D21)*0.02</f>
        <v>0</v>
      </c>
      <c r="D41" s="189"/>
      <c r="E41" s="727" t="s">
        <v>248</v>
      </c>
      <c r="F41" s="728"/>
      <c r="G41" s="728"/>
      <c r="H41" s="728"/>
      <c r="I41" s="728"/>
      <c r="J41" s="728"/>
      <c r="K41" s="728"/>
      <c r="L41" s="728"/>
      <c r="M41" s="729"/>
      <c r="N41" s="189"/>
    </row>
    <row r="42" spans="1:14" x14ac:dyDescent="0.25">
      <c r="A42" s="189"/>
      <c r="B42" s="266" t="s">
        <v>67</v>
      </c>
      <c r="C42" s="268">
        <v>0</v>
      </c>
      <c r="D42" s="189"/>
      <c r="E42" s="727" t="s">
        <v>250</v>
      </c>
      <c r="F42" s="728"/>
      <c r="G42" s="728"/>
      <c r="H42" s="728"/>
      <c r="I42" s="728"/>
      <c r="J42" s="728"/>
      <c r="K42" s="728"/>
      <c r="L42" s="728"/>
      <c r="M42" s="729"/>
      <c r="N42" s="189"/>
    </row>
    <row r="43" spans="1:14" x14ac:dyDescent="0.25">
      <c r="A43" s="189"/>
      <c r="B43" s="266" t="s">
        <v>68</v>
      </c>
      <c r="C43" s="267">
        <v>350</v>
      </c>
      <c r="D43" s="189"/>
      <c r="E43" s="727" t="s">
        <v>249</v>
      </c>
      <c r="F43" s="728"/>
      <c r="G43" s="728"/>
      <c r="H43" s="728"/>
      <c r="I43" s="728"/>
      <c r="J43" s="728"/>
      <c r="K43" s="728"/>
      <c r="L43" s="728"/>
      <c r="M43" s="729"/>
      <c r="N43" s="189"/>
    </row>
    <row r="44" spans="1:14" x14ac:dyDescent="0.25">
      <c r="A44" s="189"/>
      <c r="B44" s="266" t="s">
        <v>69</v>
      </c>
      <c r="C44" s="268">
        <v>1500</v>
      </c>
      <c r="D44" s="189"/>
      <c r="E44" s="727" t="s">
        <v>262</v>
      </c>
      <c r="F44" s="728"/>
      <c r="G44" s="728"/>
      <c r="H44" s="728"/>
      <c r="I44" s="728"/>
      <c r="J44" s="728"/>
      <c r="K44" s="728"/>
      <c r="L44" s="728"/>
      <c r="M44" s="729"/>
      <c r="N44" s="189"/>
    </row>
    <row r="45" spans="1:14" x14ac:dyDescent="0.25">
      <c r="A45" s="189"/>
      <c r="B45" s="266" t="s">
        <v>12</v>
      </c>
      <c r="C45" s="268">
        <v>0</v>
      </c>
      <c r="D45" s="189"/>
      <c r="E45" s="727" t="s">
        <v>333</v>
      </c>
      <c r="F45" s="728"/>
      <c r="G45" s="728"/>
      <c r="H45" s="728"/>
      <c r="I45" s="728"/>
      <c r="J45" s="728"/>
      <c r="K45" s="728"/>
      <c r="L45" s="728"/>
      <c r="M45" s="729"/>
      <c r="N45" s="189"/>
    </row>
    <row r="46" spans="1:14" x14ac:dyDescent="0.25">
      <c r="A46" s="189"/>
      <c r="B46" s="266" t="s">
        <v>70</v>
      </c>
      <c r="C46" s="268">
        <v>1489</v>
      </c>
      <c r="D46" s="189"/>
      <c r="E46" s="727" t="s">
        <v>71</v>
      </c>
      <c r="F46" s="728"/>
      <c r="G46" s="728"/>
      <c r="H46" s="728"/>
      <c r="I46" s="728"/>
      <c r="J46" s="728"/>
      <c r="K46" s="728"/>
      <c r="L46" s="728"/>
      <c r="M46" s="729"/>
      <c r="N46" s="189"/>
    </row>
    <row r="47" spans="1:14" x14ac:dyDescent="0.25">
      <c r="A47" s="189"/>
      <c r="B47" s="266" t="s">
        <v>72</v>
      </c>
      <c r="C47" s="268">
        <v>0</v>
      </c>
      <c r="D47" s="189"/>
      <c r="E47" s="727" t="s">
        <v>251</v>
      </c>
      <c r="F47" s="728"/>
      <c r="G47" s="728"/>
      <c r="H47" s="728"/>
      <c r="I47" s="728"/>
      <c r="J47" s="728"/>
      <c r="K47" s="728"/>
      <c r="L47" s="728"/>
      <c r="M47" s="729"/>
      <c r="N47" s="189"/>
    </row>
    <row r="48" spans="1:14" x14ac:dyDescent="0.25">
      <c r="A48" s="189"/>
      <c r="B48" s="269" t="s">
        <v>211</v>
      </c>
      <c r="C48" s="270">
        <v>500</v>
      </c>
      <c r="D48" s="189"/>
      <c r="E48" s="730" t="s">
        <v>294</v>
      </c>
      <c r="F48" s="731"/>
      <c r="G48" s="731"/>
      <c r="H48" s="731"/>
      <c r="I48" s="731"/>
      <c r="J48" s="731"/>
      <c r="K48" s="731"/>
      <c r="L48" s="731"/>
      <c r="M48" s="732"/>
      <c r="N48" s="189"/>
    </row>
    <row r="49" spans="1:14" x14ac:dyDescent="0.25">
      <c r="A49" s="189"/>
      <c r="B49" s="271" t="s">
        <v>254</v>
      </c>
      <c r="C49" s="290">
        <f>IF(SUM('Energy generation (by site)'!C28:C30)&gt;0,SUM(C38:C48),0)</f>
        <v>0</v>
      </c>
      <c r="D49" s="189"/>
      <c r="E49" s="245"/>
      <c r="F49" s="272"/>
      <c r="G49" s="272"/>
      <c r="H49" s="272"/>
      <c r="I49" s="272"/>
      <c r="J49" s="272"/>
      <c r="K49" s="272"/>
      <c r="L49" s="272"/>
      <c r="M49" s="273"/>
      <c r="N49" s="189"/>
    </row>
    <row r="50" spans="1:14" x14ac:dyDescent="0.25">
      <c r="A50" s="189"/>
      <c r="B50" s="274" t="s">
        <v>253</v>
      </c>
      <c r="C50" s="293">
        <f>C49*(1+'Revenue sensitivities'!D16)</f>
        <v>0</v>
      </c>
      <c r="D50" s="189"/>
      <c r="E50" s="275"/>
      <c r="F50" s="276"/>
      <c r="G50" s="276"/>
      <c r="H50" s="276"/>
      <c r="I50" s="276"/>
      <c r="J50" s="276"/>
      <c r="K50" s="276"/>
      <c r="L50" s="276"/>
      <c r="M50" s="277"/>
      <c r="N50" s="189"/>
    </row>
    <row r="51" spans="1:14" x14ac:dyDescent="0.25">
      <c r="B51" s="128" t="s">
        <v>257</v>
      </c>
      <c r="C51" s="129" t="e">
        <f>C50/'Energy generation (by site)'!C18</f>
        <v>#DIV/0!</v>
      </c>
      <c r="D51" s="130"/>
      <c r="E51" s="53" t="s">
        <v>467</v>
      </c>
      <c r="F51" s="130"/>
      <c r="G51" s="130"/>
      <c r="H51" s="130"/>
    </row>
    <row r="54" spans="1:14" x14ac:dyDescent="0.25">
      <c r="D54" s="5"/>
    </row>
    <row r="55" spans="1:14" x14ac:dyDescent="0.25">
      <c r="D55" s="5"/>
    </row>
  </sheetData>
  <mergeCells count="12">
    <mergeCell ref="E47:M47"/>
    <mergeCell ref="E48:M48"/>
    <mergeCell ref="E38:M38"/>
    <mergeCell ref="E39:M39"/>
    <mergeCell ref="E40:M40"/>
    <mergeCell ref="E41:M41"/>
    <mergeCell ref="E37:M37"/>
    <mergeCell ref="E43:M43"/>
    <mergeCell ref="E44:M44"/>
    <mergeCell ref="E45:M45"/>
    <mergeCell ref="E46:M46"/>
    <mergeCell ref="E42:M42"/>
  </mergeCells>
  <conditionalFormatting sqref="E27:N29 E35:N35 E32:N32">
    <cfRule type="containsText" dxfId="340" priority="5" operator="containsText" text="err">
      <formula>NOT(ISERROR(SEARCH("err",E27)))</formula>
    </cfRule>
    <cfRule type="containsText" dxfId="339" priority="6" operator="containsText" text="ok">
      <formula>NOT(ISERROR(SEARCH("ok",E27)))</formula>
    </cfRule>
  </conditionalFormatting>
  <conditionalFormatting sqref="E30:N30">
    <cfRule type="containsText" dxfId="338" priority="3" operator="containsText" text="err">
      <formula>NOT(ISERROR(SEARCH("err",E30)))</formula>
    </cfRule>
    <cfRule type="containsText" dxfId="337" priority="4" operator="containsText" text="ok">
      <formula>NOT(ISERROR(SEARCH("ok",E30)))</formula>
    </cfRule>
  </conditionalFormatting>
  <conditionalFormatting sqref="E25:N25">
    <cfRule type="expression" dxfId="336" priority="2">
      <formula>E24&lt;=0</formula>
    </cfRule>
  </conditionalFormatting>
  <conditionalFormatting sqref="E26:N26">
    <cfRule type="expression" dxfId="335" priority="1">
      <formula>E24&lt;=0</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C5D6D88-6D51-4646-990B-9A79354395B2}">
          <x14:formula1>
            <xm:f>'Loan Rates'!$I$6:$I$9</xm:f>
          </x14:formula1>
          <xm:sqref>E25:N25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40522E-8671-4932-8AD6-1402ADB4D950}">
  <sheetPr>
    <tabColor rgb="FFFFC000"/>
  </sheetPr>
  <dimension ref="A1:R33"/>
  <sheetViews>
    <sheetView topLeftCell="A4" zoomScale="85" zoomScaleNormal="85" workbookViewId="0">
      <selection activeCell="G34" sqref="G34"/>
    </sheetView>
  </sheetViews>
  <sheetFormatPr defaultColWidth="9.109375" defaultRowHeight="13.2" x14ac:dyDescent="0.25"/>
  <cols>
    <col min="1" max="1" width="2.6640625" style="5" customWidth="1"/>
    <col min="2" max="2" width="40.44140625" style="5" customWidth="1"/>
    <col min="3" max="3" width="17.33203125" style="5" bestFit="1" customWidth="1"/>
    <col min="4" max="4" width="2.6640625" style="5" customWidth="1"/>
    <col min="5" max="14" width="15.6640625" style="5" customWidth="1"/>
    <col min="15" max="16384" width="9.109375" style="5"/>
  </cols>
  <sheetData>
    <row r="1" spans="1:14" ht="26.4" x14ac:dyDescent="0.4">
      <c r="A1" s="189"/>
      <c r="B1" s="190" t="s">
        <v>258</v>
      </c>
      <c r="C1" s="446" t="s">
        <v>15</v>
      </c>
      <c r="D1" s="192"/>
      <c r="E1" s="189"/>
      <c r="F1" s="189"/>
      <c r="G1" s="189"/>
      <c r="H1" s="189"/>
      <c r="I1" s="189"/>
      <c r="J1" s="189"/>
      <c r="K1" s="189"/>
      <c r="L1" s="189"/>
      <c r="M1" s="189"/>
      <c r="N1" s="189"/>
    </row>
    <row r="2" spans="1:14" ht="12.75" customHeight="1" x14ac:dyDescent="0.4">
      <c r="A2" s="189"/>
      <c r="B2" s="190"/>
      <c r="C2" s="193" t="s">
        <v>276</v>
      </c>
      <c r="D2" s="194"/>
      <c r="E2" s="195">
        <v>1</v>
      </c>
      <c r="F2" s="196">
        <v>2</v>
      </c>
      <c r="G2" s="196">
        <v>3</v>
      </c>
      <c r="H2" s="196">
        <v>4</v>
      </c>
      <c r="I2" s="196">
        <v>5</v>
      </c>
      <c r="J2" s="196">
        <v>6</v>
      </c>
      <c r="K2" s="196">
        <v>7</v>
      </c>
      <c r="L2" s="196">
        <v>8</v>
      </c>
      <c r="M2" s="196">
        <v>9</v>
      </c>
      <c r="N2" s="197">
        <v>10</v>
      </c>
    </row>
    <row r="3" spans="1:14" ht="39.6" x14ac:dyDescent="0.4">
      <c r="A3" s="189"/>
      <c r="B3" s="190"/>
      <c r="C3" s="490" t="str">
        <f>INDEX(E3:N3,MATCH('Cash Flow Model'!$B$2,$E$3:$N$3,0))</f>
        <v>Blank site 2</v>
      </c>
      <c r="D3" s="198"/>
      <c r="E3" s="216" t="str">
        <f>'Costs (by site)'!E3</f>
        <v>500kW, 
£500/acre</v>
      </c>
      <c r="F3" s="217" t="str">
        <f>'Costs (by site)'!F3</f>
        <v>500kW, 
£1000/acre</v>
      </c>
      <c r="G3" s="217" t="str">
        <f>'Costs (by site)'!G3</f>
        <v>300kW, 
£500/acre</v>
      </c>
      <c r="H3" s="218" t="str">
        <f>'Costs (by site)'!H3</f>
        <v>300kW, 
£1000/acre</v>
      </c>
      <c r="I3" s="218" t="str">
        <f>'Costs (by site)'!I3</f>
        <v>300kW, 
£500/acre (no export)</v>
      </c>
      <c r="J3" s="218" t="str">
        <f>'Costs (by site)'!J3</f>
        <v>300kW, 
£1000/acre (no export)</v>
      </c>
      <c r="K3" s="218" t="str">
        <f>'Costs (by site)'!K3</f>
        <v>500kW, 
£500/acre (no grant)</v>
      </c>
      <c r="L3" s="218" t="str">
        <f>'Costs (by site)'!L3</f>
        <v>Blank site 2</v>
      </c>
      <c r="M3" s="218" t="str">
        <f>'Costs (by site)'!M3</f>
        <v>Blank site 3</v>
      </c>
      <c r="N3" s="219" t="str">
        <f>'Costs (by site)'!N3</f>
        <v>Blank site 4</v>
      </c>
    </row>
    <row r="4" spans="1:14" ht="23.4" customHeight="1" x14ac:dyDescent="0.3">
      <c r="A4" s="189"/>
      <c r="B4" s="444" t="s">
        <v>233</v>
      </c>
      <c r="C4" s="199"/>
      <c r="D4" s="199"/>
      <c r="E4" s="199"/>
      <c r="F4" s="199"/>
      <c r="G4" s="199"/>
      <c r="H4" s="199"/>
      <c r="I4" s="199"/>
      <c r="J4" s="199"/>
      <c r="K4" s="199"/>
      <c r="L4" s="199"/>
      <c r="M4" s="199"/>
      <c r="N4" s="199"/>
    </row>
    <row r="5" spans="1:14" ht="14.4" x14ac:dyDescent="0.3">
      <c r="A5" s="189"/>
      <c r="B5" s="736" t="s">
        <v>232</v>
      </c>
      <c r="C5" s="737"/>
      <c r="D5" s="199"/>
      <c r="E5" s="200"/>
      <c r="F5" s="201"/>
      <c r="G5" s="201"/>
      <c r="H5" s="201"/>
      <c r="I5" s="201"/>
      <c r="J5" s="201"/>
      <c r="K5" s="201"/>
      <c r="L5" s="201"/>
      <c r="M5" s="201"/>
      <c r="N5" s="202"/>
    </row>
    <row r="6" spans="1:14" ht="14.4" x14ac:dyDescent="0.3">
      <c r="A6" s="189"/>
      <c r="B6" s="738" t="s">
        <v>410</v>
      </c>
      <c r="C6" s="739"/>
      <c r="D6" s="199"/>
      <c r="E6" s="485">
        <f>'Global assumptions'!D13</f>
        <v>964</v>
      </c>
      <c r="F6" s="486">
        <f>E6</f>
        <v>964</v>
      </c>
      <c r="G6" s="486">
        <f t="shared" ref="G6:N6" si="0">F6</f>
        <v>964</v>
      </c>
      <c r="H6" s="486">
        <f t="shared" si="0"/>
        <v>964</v>
      </c>
      <c r="I6" s="486">
        <f t="shared" si="0"/>
        <v>964</v>
      </c>
      <c r="J6" s="486">
        <f t="shared" si="0"/>
        <v>964</v>
      </c>
      <c r="K6" s="486">
        <f t="shared" si="0"/>
        <v>964</v>
      </c>
      <c r="L6" s="486">
        <f t="shared" si="0"/>
        <v>964</v>
      </c>
      <c r="M6" s="486">
        <f t="shared" si="0"/>
        <v>964</v>
      </c>
      <c r="N6" s="487">
        <f t="shared" si="0"/>
        <v>964</v>
      </c>
    </row>
    <row r="7" spans="1:14" ht="14.4" x14ac:dyDescent="0.3">
      <c r="A7" s="189"/>
      <c r="B7" s="740" t="s">
        <v>237</v>
      </c>
      <c r="C7" s="741"/>
      <c r="D7" s="199"/>
      <c r="E7" s="482">
        <f>E6*E5/1000</f>
        <v>0</v>
      </c>
      <c r="F7" s="483">
        <f t="shared" ref="F7" si="1">F6*F5/1000</f>
        <v>0</v>
      </c>
      <c r="G7" s="483">
        <f t="shared" ref="G7" si="2">G6*G5/1000</f>
        <v>0</v>
      </c>
      <c r="H7" s="483">
        <f t="shared" ref="H7" si="3">H6*H5/1000</f>
        <v>0</v>
      </c>
      <c r="I7" s="483">
        <f t="shared" ref="I7" si="4">I6*I5/1000</f>
        <v>0</v>
      </c>
      <c r="J7" s="483">
        <f t="shared" ref="J7" si="5">J6*J5/1000</f>
        <v>0</v>
      </c>
      <c r="K7" s="483">
        <f t="shared" ref="K7" si="6">K6*K5/1000</f>
        <v>0</v>
      </c>
      <c r="L7" s="483">
        <f t="shared" ref="L7" si="7">L6*L5/1000</f>
        <v>0</v>
      </c>
      <c r="M7" s="483">
        <f t="shared" ref="M7" si="8">M6*M5/1000</f>
        <v>0</v>
      </c>
      <c r="N7" s="488">
        <f t="shared" ref="N7" si="9">N6*N5/1000</f>
        <v>0</v>
      </c>
    </row>
    <row r="8" spans="1:14" ht="23.4" customHeight="1" x14ac:dyDescent="0.3">
      <c r="A8" s="189"/>
      <c r="B8" s="445" t="s">
        <v>234</v>
      </c>
      <c r="C8" s="199"/>
      <c r="D8" s="199"/>
      <c r="E8" s="203"/>
      <c r="F8" s="203"/>
      <c r="G8" s="203"/>
      <c r="H8" s="203"/>
      <c r="I8" s="203"/>
      <c r="J8" s="203"/>
      <c r="K8" s="203"/>
      <c r="L8" s="203"/>
      <c r="M8" s="203"/>
      <c r="N8" s="203"/>
    </row>
    <row r="9" spans="1:14" ht="14.4" x14ac:dyDescent="0.3">
      <c r="A9" s="189"/>
      <c r="B9" s="736" t="s">
        <v>232</v>
      </c>
      <c r="C9" s="737"/>
      <c r="D9" s="199"/>
      <c r="E9" s="200">
        <v>500</v>
      </c>
      <c r="F9" s="201">
        <v>500</v>
      </c>
      <c r="G9" s="201">
        <v>300</v>
      </c>
      <c r="H9" s="201">
        <v>300</v>
      </c>
      <c r="I9" s="201">
        <v>300</v>
      </c>
      <c r="J9" s="201">
        <v>300</v>
      </c>
      <c r="K9" s="201">
        <v>300</v>
      </c>
      <c r="L9" s="201"/>
      <c r="M9" s="204"/>
      <c r="N9" s="205"/>
    </row>
    <row r="10" spans="1:14" ht="14.4" x14ac:dyDescent="0.3">
      <c r="A10" s="189"/>
      <c r="B10" s="738" t="s">
        <v>410</v>
      </c>
      <c r="C10" s="739"/>
      <c r="D10" s="199"/>
      <c r="E10" s="485">
        <f>'Global assumptions'!D13</f>
        <v>964</v>
      </c>
      <c r="F10" s="486">
        <f>E10</f>
        <v>964</v>
      </c>
      <c r="G10" s="486">
        <f t="shared" ref="G10:N10" si="10">F10</f>
        <v>964</v>
      </c>
      <c r="H10" s="486">
        <f t="shared" si="10"/>
        <v>964</v>
      </c>
      <c r="I10" s="486">
        <f t="shared" si="10"/>
        <v>964</v>
      </c>
      <c r="J10" s="486">
        <f t="shared" si="10"/>
        <v>964</v>
      </c>
      <c r="K10" s="486">
        <f t="shared" si="10"/>
        <v>964</v>
      </c>
      <c r="L10" s="486">
        <f t="shared" si="10"/>
        <v>964</v>
      </c>
      <c r="M10" s="486">
        <f t="shared" si="10"/>
        <v>964</v>
      </c>
      <c r="N10" s="487">
        <f t="shared" si="10"/>
        <v>964</v>
      </c>
    </row>
    <row r="11" spans="1:14" ht="14.4" x14ac:dyDescent="0.3">
      <c r="A11" s="189"/>
      <c r="B11" s="740" t="s">
        <v>237</v>
      </c>
      <c r="C11" s="741"/>
      <c r="D11" s="199"/>
      <c r="E11" s="482">
        <f>E10*E9/1000</f>
        <v>482</v>
      </c>
      <c r="F11" s="483">
        <f t="shared" ref="F11:N11" si="11">F10*F9/1000</f>
        <v>482</v>
      </c>
      <c r="G11" s="483">
        <f t="shared" si="11"/>
        <v>289.2</v>
      </c>
      <c r="H11" s="483">
        <f t="shared" si="11"/>
        <v>289.2</v>
      </c>
      <c r="I11" s="483">
        <f t="shared" si="11"/>
        <v>289.2</v>
      </c>
      <c r="J11" s="483">
        <f t="shared" si="11"/>
        <v>289.2</v>
      </c>
      <c r="K11" s="483">
        <f t="shared" si="11"/>
        <v>289.2</v>
      </c>
      <c r="L11" s="483">
        <f t="shared" si="11"/>
        <v>0</v>
      </c>
      <c r="M11" s="483">
        <f t="shared" si="11"/>
        <v>0</v>
      </c>
      <c r="N11" s="488">
        <f t="shared" si="11"/>
        <v>0</v>
      </c>
    </row>
    <row r="12" spans="1:14" ht="21.6" customHeight="1" x14ac:dyDescent="0.3">
      <c r="A12" s="189"/>
      <c r="B12" s="444" t="s">
        <v>235</v>
      </c>
      <c r="C12" s="199"/>
      <c r="D12" s="199"/>
      <c r="E12" s="199"/>
      <c r="F12" s="199"/>
      <c r="G12" s="199"/>
      <c r="H12" s="199"/>
      <c r="I12" s="199"/>
      <c r="J12" s="199"/>
      <c r="K12" s="199"/>
      <c r="L12" s="199"/>
      <c r="M12" s="199"/>
      <c r="N12" s="199"/>
    </row>
    <row r="13" spans="1:14" ht="14.4" x14ac:dyDescent="0.3">
      <c r="A13" s="189"/>
      <c r="B13" s="736" t="s">
        <v>232</v>
      </c>
      <c r="C13" s="737"/>
      <c r="D13" s="199"/>
      <c r="E13" s="206"/>
      <c r="F13" s="204"/>
      <c r="G13" s="204"/>
      <c r="H13" s="204"/>
      <c r="I13" s="204"/>
      <c r="J13" s="204"/>
      <c r="K13" s="204"/>
      <c r="L13" s="204"/>
      <c r="M13" s="204"/>
      <c r="N13" s="205"/>
    </row>
    <row r="14" spans="1:14" ht="14.4" x14ac:dyDescent="0.3">
      <c r="A14" s="189"/>
      <c r="B14" s="738" t="s">
        <v>410</v>
      </c>
      <c r="C14" s="739"/>
      <c r="D14" s="199"/>
      <c r="E14" s="485">
        <f>'Global assumptions'!D13</f>
        <v>964</v>
      </c>
      <c r="F14" s="486">
        <f>E14</f>
        <v>964</v>
      </c>
      <c r="G14" s="486">
        <f t="shared" ref="G14:N14" si="12">F14</f>
        <v>964</v>
      </c>
      <c r="H14" s="486">
        <f t="shared" si="12"/>
        <v>964</v>
      </c>
      <c r="I14" s="486">
        <f t="shared" si="12"/>
        <v>964</v>
      </c>
      <c r="J14" s="486">
        <f t="shared" si="12"/>
        <v>964</v>
      </c>
      <c r="K14" s="486">
        <f t="shared" si="12"/>
        <v>964</v>
      </c>
      <c r="L14" s="486">
        <f t="shared" si="12"/>
        <v>964</v>
      </c>
      <c r="M14" s="486">
        <f t="shared" si="12"/>
        <v>964</v>
      </c>
      <c r="N14" s="487">
        <f t="shared" si="12"/>
        <v>964</v>
      </c>
    </row>
    <row r="15" spans="1:14" ht="14.4" x14ac:dyDescent="0.3">
      <c r="A15" s="189"/>
      <c r="B15" s="740" t="s">
        <v>237</v>
      </c>
      <c r="C15" s="741"/>
      <c r="D15" s="199"/>
      <c r="E15" s="482">
        <f>E14*E13/1000</f>
        <v>0</v>
      </c>
      <c r="F15" s="483">
        <f t="shared" ref="F15" si="13">F14*F13/1000</f>
        <v>0</v>
      </c>
      <c r="G15" s="483">
        <f t="shared" ref="G15" si="14">G14*G13/1000</f>
        <v>0</v>
      </c>
      <c r="H15" s="483">
        <f t="shared" ref="H15" si="15">H14*H13/1000</f>
        <v>0</v>
      </c>
      <c r="I15" s="483">
        <f t="shared" ref="I15" si="16">I14*I13/1000</f>
        <v>0</v>
      </c>
      <c r="J15" s="483">
        <f t="shared" ref="J15" si="17">J14*J13/1000</f>
        <v>0</v>
      </c>
      <c r="K15" s="483">
        <f t="shared" ref="K15" si="18">K14*K13/1000</f>
        <v>0</v>
      </c>
      <c r="L15" s="483">
        <f t="shared" ref="L15" si="19">L14*L13/1000</f>
        <v>0</v>
      </c>
      <c r="M15" s="483">
        <f t="shared" ref="M15" si="20">M14*M13/1000</f>
        <v>0</v>
      </c>
      <c r="N15" s="488">
        <f t="shared" ref="N15" si="21">N14*N13/1000</f>
        <v>0</v>
      </c>
    </row>
    <row r="16" spans="1:14" x14ac:dyDescent="0.25">
      <c r="A16" s="189"/>
      <c r="B16" s="189"/>
      <c r="C16" s="189"/>
      <c r="D16" s="189"/>
      <c r="E16" s="189"/>
      <c r="F16" s="189"/>
      <c r="G16" s="189"/>
      <c r="H16" s="189"/>
      <c r="I16" s="189"/>
      <c r="J16" s="189"/>
      <c r="K16" s="189"/>
      <c r="L16" s="189"/>
      <c r="M16" s="189"/>
      <c r="N16" s="189"/>
    </row>
    <row r="17" spans="1:18" ht="20.399999999999999" customHeight="1" x14ac:dyDescent="0.3">
      <c r="A17" s="189"/>
      <c r="B17" s="444" t="s">
        <v>236</v>
      </c>
      <c r="C17" s="199"/>
      <c r="D17" s="199"/>
      <c r="E17" s="199"/>
      <c r="F17" s="199"/>
      <c r="G17" s="199"/>
      <c r="H17" s="199"/>
      <c r="I17" s="199"/>
      <c r="J17" s="199"/>
      <c r="K17" s="199"/>
      <c r="L17" s="199"/>
      <c r="M17" s="199"/>
      <c r="N17" s="199"/>
    </row>
    <row r="18" spans="1:18" ht="14.4" x14ac:dyDescent="0.3">
      <c r="A18" s="189"/>
      <c r="B18" s="641" t="s">
        <v>18</v>
      </c>
      <c r="C18" s="642">
        <f>INDEX(E18:N18,MATCH($C$3,$E$3:$N$3,0))</f>
        <v>0</v>
      </c>
      <c r="D18" s="199"/>
      <c r="E18" s="510">
        <f t="shared" ref="E18:N18" si="22">E5+E9+E13</f>
        <v>500</v>
      </c>
      <c r="F18" s="409">
        <f t="shared" si="22"/>
        <v>500</v>
      </c>
      <c r="G18" s="409">
        <f t="shared" si="22"/>
        <v>300</v>
      </c>
      <c r="H18" s="409">
        <f t="shared" si="22"/>
        <v>300</v>
      </c>
      <c r="I18" s="409">
        <f t="shared" si="22"/>
        <v>300</v>
      </c>
      <c r="J18" s="409">
        <f t="shared" si="22"/>
        <v>300</v>
      </c>
      <c r="K18" s="409">
        <f t="shared" si="22"/>
        <v>300</v>
      </c>
      <c r="L18" s="364">
        <f t="shared" si="22"/>
        <v>0</v>
      </c>
      <c r="M18" s="511">
        <f t="shared" si="22"/>
        <v>0</v>
      </c>
      <c r="N18" s="512">
        <f t="shared" si="22"/>
        <v>0</v>
      </c>
    </row>
    <row r="19" spans="1:18" ht="14.4" x14ac:dyDescent="0.3">
      <c r="A19" s="189"/>
      <c r="B19" s="744" t="s">
        <v>411</v>
      </c>
      <c r="C19" s="745"/>
      <c r="D19" s="199"/>
      <c r="E19" s="513">
        <f>(E7+E11+E15)</f>
        <v>482</v>
      </c>
      <c r="F19" s="410">
        <f t="shared" ref="F19:N19" si="23">(F7+F11+F15)</f>
        <v>482</v>
      </c>
      <c r="G19" s="410">
        <f t="shared" si="23"/>
        <v>289.2</v>
      </c>
      <c r="H19" s="410">
        <f t="shared" si="23"/>
        <v>289.2</v>
      </c>
      <c r="I19" s="410">
        <f t="shared" si="23"/>
        <v>289.2</v>
      </c>
      <c r="J19" s="410">
        <f t="shared" si="23"/>
        <v>289.2</v>
      </c>
      <c r="K19" s="410">
        <f t="shared" si="23"/>
        <v>289.2</v>
      </c>
      <c r="L19" s="368">
        <f t="shared" si="23"/>
        <v>0</v>
      </c>
      <c r="M19" s="514">
        <f t="shared" si="23"/>
        <v>0</v>
      </c>
      <c r="N19" s="515">
        <f t="shared" si="23"/>
        <v>0</v>
      </c>
    </row>
    <row r="20" spans="1:18" ht="14.4" x14ac:dyDescent="0.3">
      <c r="A20" s="189"/>
      <c r="B20" s="748" t="s">
        <v>412</v>
      </c>
      <c r="C20" s="749"/>
      <c r="D20" s="199"/>
      <c r="E20" s="516">
        <f>E19*(1+'Revenue sensitivities'!$D$17)</f>
        <v>482</v>
      </c>
      <c r="F20" s="517">
        <f>F19*(1+'Revenue sensitivities'!$D$17)</f>
        <v>482</v>
      </c>
      <c r="G20" s="517">
        <f>G19*(1+'Revenue sensitivities'!$D$17)</f>
        <v>289.2</v>
      </c>
      <c r="H20" s="483">
        <f>H19*(1+'Revenue sensitivities'!$D$17)</f>
        <v>289.2</v>
      </c>
      <c r="I20" s="483">
        <f>I19*(1+'Revenue sensitivities'!$D$17)</f>
        <v>289.2</v>
      </c>
      <c r="J20" s="517">
        <f>J19*(1+'Revenue sensitivities'!$D$17)</f>
        <v>289.2</v>
      </c>
      <c r="K20" s="517">
        <f>K19*(1+'Revenue sensitivities'!$D$17)</f>
        <v>289.2</v>
      </c>
      <c r="L20" s="375">
        <f>L19*(1+'Revenue sensitivities'!$D$17)</f>
        <v>0</v>
      </c>
      <c r="M20" s="518">
        <f>M19*(1+'Revenue sensitivities'!$D$17)</f>
        <v>0</v>
      </c>
      <c r="N20" s="519">
        <f>N19*(1+'Revenue sensitivities'!$D$17)</f>
        <v>0</v>
      </c>
    </row>
    <row r="21" spans="1:18" ht="14.4" x14ac:dyDescent="0.3">
      <c r="A21" s="189"/>
      <c r="B21" s="746" t="s">
        <v>457</v>
      </c>
      <c r="C21" s="747"/>
      <c r="D21" s="199"/>
      <c r="E21" s="437">
        <v>0.71499999999999997</v>
      </c>
      <c r="F21" s="438">
        <v>0.71499999999999997</v>
      </c>
      <c r="G21" s="438">
        <v>0.71499999999999997</v>
      </c>
      <c r="H21" s="438">
        <v>0.71499999999999997</v>
      </c>
      <c r="I21" s="438">
        <v>0.89400000000000002</v>
      </c>
      <c r="J21" s="438">
        <v>0.89400000000000002</v>
      </c>
      <c r="K21" s="438">
        <v>0.89400000000000002</v>
      </c>
      <c r="L21" s="208"/>
      <c r="M21" s="208"/>
      <c r="N21" s="209"/>
    </row>
    <row r="22" spans="1:18" ht="14.4" x14ac:dyDescent="0.3">
      <c r="A22" s="189"/>
      <c r="B22" s="746" t="s">
        <v>458</v>
      </c>
      <c r="C22" s="747"/>
      <c r="D22" s="199"/>
      <c r="E22" s="520">
        <f>E21+'Revenue sensitivities'!$D$14</f>
        <v>0.71499999999999997</v>
      </c>
      <c r="F22" s="521">
        <f>F21+'Revenue sensitivities'!$D$14</f>
        <v>0.71499999999999997</v>
      </c>
      <c r="G22" s="521">
        <f>G21+'Revenue sensitivities'!$D$14</f>
        <v>0.71499999999999997</v>
      </c>
      <c r="H22" s="521">
        <f>H21+'Revenue sensitivities'!$D$14</f>
        <v>0.71499999999999997</v>
      </c>
      <c r="I22" s="521">
        <f>I21+'Revenue sensitivities'!$D$14</f>
        <v>0.89400000000000002</v>
      </c>
      <c r="J22" s="521">
        <f>J21+'Revenue sensitivities'!$D$14</f>
        <v>0.89400000000000002</v>
      </c>
      <c r="K22" s="521">
        <f>K21+'Revenue sensitivities'!$D$14</f>
        <v>0.89400000000000002</v>
      </c>
      <c r="L22" s="522">
        <f>L21+'Revenue sensitivities'!$D$14</f>
        <v>0</v>
      </c>
      <c r="M22" s="522">
        <f>M21+'Revenue sensitivities'!$D$14</f>
        <v>0</v>
      </c>
      <c r="N22" s="523">
        <f>N21+'Revenue sensitivities'!$D$14</f>
        <v>0</v>
      </c>
    </row>
    <row r="23" spans="1:18" ht="14.4" x14ac:dyDescent="0.3">
      <c r="A23" s="189"/>
      <c r="B23" s="619" t="s">
        <v>456</v>
      </c>
      <c r="C23" s="620"/>
      <c r="D23" s="199"/>
      <c r="E23" s="520">
        <f>1-E22-E24-E25</f>
        <v>0.28500000000000003</v>
      </c>
      <c r="F23" s="521">
        <f t="shared" ref="F23:N23" si="24">1-F22-F24-F25</f>
        <v>0.28500000000000003</v>
      </c>
      <c r="G23" s="521">
        <f t="shared" si="24"/>
        <v>0.28500000000000003</v>
      </c>
      <c r="H23" s="521">
        <f t="shared" si="24"/>
        <v>0.28500000000000003</v>
      </c>
      <c r="I23" s="521">
        <f t="shared" si="24"/>
        <v>0.10599999999999998</v>
      </c>
      <c r="J23" s="521">
        <f t="shared" si="24"/>
        <v>0.10599999999999998</v>
      </c>
      <c r="K23" s="521">
        <f t="shared" si="24"/>
        <v>0.10599999999999998</v>
      </c>
      <c r="L23" s="522">
        <f t="shared" si="24"/>
        <v>1</v>
      </c>
      <c r="M23" s="522">
        <f t="shared" si="24"/>
        <v>1</v>
      </c>
      <c r="N23" s="523">
        <f t="shared" si="24"/>
        <v>1</v>
      </c>
    </row>
    <row r="24" spans="1:18" ht="14.4" x14ac:dyDescent="0.3">
      <c r="A24" s="189"/>
      <c r="B24" s="744" t="s">
        <v>455</v>
      </c>
      <c r="C24" s="745"/>
      <c r="D24" s="199"/>
      <c r="E24" s="221">
        <f>'Global assumptions'!$D$21</f>
        <v>0</v>
      </c>
      <c r="F24" s="222">
        <f>'Global assumptions'!$D$21</f>
        <v>0</v>
      </c>
      <c r="G24" s="222">
        <f>'Global assumptions'!$D$21</f>
        <v>0</v>
      </c>
      <c r="H24" s="222">
        <f>'Global assumptions'!$D$21</f>
        <v>0</v>
      </c>
      <c r="I24" s="222">
        <f>'Global assumptions'!$D$21</f>
        <v>0</v>
      </c>
      <c r="J24" s="222">
        <f>'Global assumptions'!$D$21</f>
        <v>0</v>
      </c>
      <c r="K24" s="222">
        <f>'Global assumptions'!$D$21</f>
        <v>0</v>
      </c>
      <c r="L24" s="211">
        <f>'Global assumptions'!$D$21</f>
        <v>0</v>
      </c>
      <c r="M24" s="211">
        <f>'Global assumptions'!$D$21</f>
        <v>0</v>
      </c>
      <c r="N24" s="212">
        <f>'Global assumptions'!$D$21</f>
        <v>0</v>
      </c>
    </row>
    <row r="25" spans="1:18" ht="14.4" x14ac:dyDescent="0.3">
      <c r="A25" s="189"/>
      <c r="B25" s="742" t="s">
        <v>459</v>
      </c>
      <c r="C25" s="743"/>
      <c r="D25" s="199"/>
      <c r="E25" s="645">
        <f>'Global assumptions'!$D$22</f>
        <v>0</v>
      </c>
      <c r="F25" s="646">
        <f>'Global assumptions'!$D$22</f>
        <v>0</v>
      </c>
      <c r="G25" s="646">
        <f>'Global assumptions'!$D$22</f>
        <v>0</v>
      </c>
      <c r="H25" s="646">
        <f>'Global assumptions'!$D$22</f>
        <v>0</v>
      </c>
      <c r="I25" s="646">
        <f>'Global assumptions'!$D$22</f>
        <v>0</v>
      </c>
      <c r="J25" s="646">
        <f>'Global assumptions'!$D$22</f>
        <v>0</v>
      </c>
      <c r="K25" s="646">
        <f>'Global assumptions'!$D$22</f>
        <v>0</v>
      </c>
      <c r="L25" s="646">
        <f>'Global assumptions'!$D$22</f>
        <v>0</v>
      </c>
      <c r="M25" s="646">
        <f>'Global assumptions'!$D$22</f>
        <v>0</v>
      </c>
      <c r="N25" s="647">
        <f>'Global assumptions'!$D$22</f>
        <v>0</v>
      </c>
    </row>
    <row r="26" spans="1:18" x14ac:dyDescent="0.25">
      <c r="A26" s="189"/>
      <c r="B26" s="189"/>
      <c r="C26" s="189"/>
      <c r="D26" s="189"/>
      <c r="E26" s="189"/>
      <c r="F26" s="189"/>
      <c r="G26" s="189"/>
      <c r="H26" s="189"/>
      <c r="I26" s="189"/>
      <c r="J26" s="189"/>
      <c r="K26" s="189"/>
      <c r="L26" s="189"/>
      <c r="M26" s="189"/>
      <c r="N26" s="189"/>
      <c r="O26" s="189"/>
      <c r="P26" s="189"/>
    </row>
    <row r="27" spans="1:18" x14ac:dyDescent="0.25">
      <c r="A27" s="189"/>
      <c r="B27" s="189"/>
      <c r="C27" s="494" t="s">
        <v>413</v>
      </c>
      <c r="D27" s="189"/>
      <c r="E27" s="189"/>
      <c r="F27" s="189"/>
      <c r="G27" s="189"/>
      <c r="H27" s="189"/>
      <c r="I27" s="189"/>
      <c r="J27" s="189"/>
      <c r="K27" s="189"/>
      <c r="L27" s="189"/>
      <c r="M27" s="189"/>
      <c r="N27" s="189"/>
      <c r="O27" s="189"/>
      <c r="P27" s="189"/>
      <c r="Q27" s="189"/>
      <c r="R27" s="189"/>
    </row>
    <row r="28" spans="1:18" ht="14.4" x14ac:dyDescent="0.3">
      <c r="A28" s="189"/>
      <c r="B28" s="214" t="s">
        <v>238</v>
      </c>
      <c r="C28" s="491">
        <f>INDEX(E28:N28,MATCH($C$3,$E$3:$N$3,0))</f>
        <v>0</v>
      </c>
      <c r="D28" s="199"/>
      <c r="E28" s="498">
        <f>(E20*E22)</f>
        <v>344.63</v>
      </c>
      <c r="F28" s="499">
        <f t="shared" ref="F28:N28" si="25">(F20*F22)</f>
        <v>344.63</v>
      </c>
      <c r="G28" s="499">
        <f t="shared" si="25"/>
        <v>206.77799999999999</v>
      </c>
      <c r="H28" s="499">
        <f t="shared" si="25"/>
        <v>206.77799999999999</v>
      </c>
      <c r="I28" s="499">
        <f t="shared" si="25"/>
        <v>258.54480000000001</v>
      </c>
      <c r="J28" s="499">
        <f t="shared" si="25"/>
        <v>258.54480000000001</v>
      </c>
      <c r="K28" s="499">
        <f t="shared" si="25"/>
        <v>258.54480000000001</v>
      </c>
      <c r="L28" s="500">
        <f t="shared" si="25"/>
        <v>0</v>
      </c>
      <c r="M28" s="500">
        <f t="shared" si="25"/>
        <v>0</v>
      </c>
      <c r="N28" s="501">
        <f t="shared" si="25"/>
        <v>0</v>
      </c>
    </row>
    <row r="29" spans="1:18" ht="14.4" x14ac:dyDescent="0.3">
      <c r="A29" s="189"/>
      <c r="B29" s="215" t="s">
        <v>239</v>
      </c>
      <c r="C29" s="492">
        <f>INDEX(E29:N29,MATCH($C$3,$E$3:$N$3,0))</f>
        <v>0</v>
      </c>
      <c r="D29" s="199"/>
      <c r="E29" s="502">
        <f>(E20*E23)</f>
        <v>137.37</v>
      </c>
      <c r="F29" s="503">
        <f t="shared" ref="F29:N29" si="26">(F20*F23)</f>
        <v>137.37</v>
      </c>
      <c r="G29" s="503">
        <f t="shared" si="26"/>
        <v>82.422000000000011</v>
      </c>
      <c r="H29" s="503">
        <f t="shared" si="26"/>
        <v>82.422000000000011</v>
      </c>
      <c r="I29" s="503">
        <f t="shared" si="26"/>
        <v>30.655199999999994</v>
      </c>
      <c r="J29" s="503">
        <f t="shared" si="26"/>
        <v>30.655199999999994</v>
      </c>
      <c r="K29" s="503">
        <f t="shared" si="26"/>
        <v>30.655199999999994</v>
      </c>
      <c r="L29" s="504">
        <f t="shared" si="26"/>
        <v>0</v>
      </c>
      <c r="M29" s="504">
        <f t="shared" si="26"/>
        <v>0</v>
      </c>
      <c r="N29" s="505">
        <f t="shared" si="26"/>
        <v>0</v>
      </c>
    </row>
    <row r="30" spans="1:18" ht="14.4" x14ac:dyDescent="0.3">
      <c r="A30" s="189"/>
      <c r="B30" s="207" t="s">
        <v>240</v>
      </c>
      <c r="C30" s="493">
        <f>INDEX(E30:N30,MATCH($C$3,$E$3:$N$3,0))</f>
        <v>0</v>
      </c>
      <c r="D30" s="199"/>
      <c r="E30" s="506">
        <f>(E20*E24)</f>
        <v>0</v>
      </c>
      <c r="F30" s="507">
        <f t="shared" ref="F30:N30" si="27">(F20*F24)</f>
        <v>0</v>
      </c>
      <c r="G30" s="507">
        <f t="shared" si="27"/>
        <v>0</v>
      </c>
      <c r="H30" s="507">
        <f t="shared" si="27"/>
        <v>0</v>
      </c>
      <c r="I30" s="507">
        <f t="shared" si="27"/>
        <v>0</v>
      </c>
      <c r="J30" s="507">
        <f t="shared" si="27"/>
        <v>0</v>
      </c>
      <c r="K30" s="507">
        <f t="shared" si="27"/>
        <v>0</v>
      </c>
      <c r="L30" s="508">
        <f t="shared" si="27"/>
        <v>0</v>
      </c>
      <c r="M30" s="508">
        <f t="shared" si="27"/>
        <v>0</v>
      </c>
      <c r="N30" s="509">
        <f t="shared" si="27"/>
        <v>0</v>
      </c>
    </row>
    <row r="31" spans="1:18" ht="14.4" x14ac:dyDescent="0.3">
      <c r="D31" s="123"/>
    </row>
    <row r="32" spans="1:18" ht="21" x14ac:dyDescent="0.4">
      <c r="B32" s="127" t="s">
        <v>259</v>
      </c>
    </row>
    <row r="33" spans="2:2" x14ac:dyDescent="0.25">
      <c r="B33" s="53" t="s">
        <v>263</v>
      </c>
    </row>
  </sheetData>
  <mergeCells count="15">
    <mergeCell ref="B11:C11"/>
    <mergeCell ref="B5:C5"/>
    <mergeCell ref="B7:C7"/>
    <mergeCell ref="B6:C6"/>
    <mergeCell ref="B9:C9"/>
    <mergeCell ref="B10:C10"/>
    <mergeCell ref="B13:C13"/>
    <mergeCell ref="B14:C14"/>
    <mergeCell ref="B15:C15"/>
    <mergeCell ref="B25:C25"/>
    <mergeCell ref="B24:C24"/>
    <mergeCell ref="B22:C22"/>
    <mergeCell ref="B21:C21"/>
    <mergeCell ref="B20:C20"/>
    <mergeCell ref="B19:C19"/>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C000"/>
  </sheetPr>
  <dimension ref="A1:Q22"/>
  <sheetViews>
    <sheetView zoomScaleNormal="100" workbookViewId="0">
      <selection activeCell="H28" sqref="H28"/>
    </sheetView>
  </sheetViews>
  <sheetFormatPr defaultColWidth="9.109375" defaultRowHeight="13.2" x14ac:dyDescent="0.25"/>
  <cols>
    <col min="1" max="1" width="2.6640625" style="5" customWidth="1"/>
    <col min="2" max="2" width="41.33203125" style="5" customWidth="1"/>
    <col min="3" max="3" width="9.21875" style="5" customWidth="1"/>
    <col min="4" max="4" width="24.109375" style="5" customWidth="1"/>
    <col min="5" max="16" width="14.33203125" style="5" customWidth="1"/>
    <col min="17" max="16384" width="9.109375" style="5"/>
  </cols>
  <sheetData>
    <row r="1" spans="1:17" ht="27.75" customHeight="1" x14ac:dyDescent="0.4">
      <c r="A1" s="189"/>
      <c r="B1" s="190" t="s">
        <v>261</v>
      </c>
      <c r="C1" s="189"/>
      <c r="D1" s="189"/>
      <c r="E1" s="304"/>
      <c r="F1" s="304"/>
      <c r="G1" s="304"/>
      <c r="H1" s="304"/>
      <c r="I1" s="304"/>
      <c r="J1" s="304"/>
      <c r="K1" s="304"/>
      <c r="L1" s="304"/>
      <c r="M1" s="304"/>
      <c r="N1" s="304"/>
      <c r="O1" s="304"/>
      <c r="P1" s="304"/>
    </row>
    <row r="2" spans="1:17" x14ac:dyDescent="0.25">
      <c r="A2" s="189"/>
      <c r="B2" s="305" t="s">
        <v>450</v>
      </c>
      <c r="C2" s="189"/>
      <c r="D2" s="189"/>
      <c r="E2" s="304"/>
      <c r="F2" s="304"/>
      <c r="G2" s="304"/>
      <c r="H2" s="304"/>
      <c r="I2" s="304"/>
      <c r="J2" s="304"/>
      <c r="K2" s="304"/>
      <c r="L2" s="304"/>
      <c r="M2" s="304"/>
      <c r="N2" s="304"/>
      <c r="O2" s="304"/>
      <c r="P2" s="304"/>
    </row>
    <row r="3" spans="1:17" s="21" customFormat="1" x14ac:dyDescent="0.25">
      <c r="A3" s="306"/>
      <c r="B3" s="307"/>
      <c r="C3" s="307"/>
      <c r="D3" s="602" t="s">
        <v>274</v>
      </c>
      <c r="E3" s="308">
        <v>1</v>
      </c>
      <c r="F3" s="308">
        <v>2</v>
      </c>
      <c r="G3" s="308">
        <v>3</v>
      </c>
      <c r="H3" s="308">
        <v>4</v>
      </c>
      <c r="I3" s="308">
        <v>5</v>
      </c>
      <c r="J3" s="308">
        <v>6</v>
      </c>
      <c r="K3" s="308">
        <v>7</v>
      </c>
      <c r="L3" s="308">
        <v>8</v>
      </c>
      <c r="M3" s="308">
        <v>9</v>
      </c>
      <c r="N3" s="308">
        <v>10</v>
      </c>
      <c r="O3" s="308">
        <v>11</v>
      </c>
      <c r="P3" s="309">
        <v>12</v>
      </c>
    </row>
    <row r="4" spans="1:17" ht="45" x14ac:dyDescent="0.25">
      <c r="A4" s="189"/>
      <c r="B4" s="307"/>
      <c r="C4" s="307"/>
      <c r="D4" s="603" t="str">
        <f>"In model ("&amp;'Cash Flow Model'!B3&amp;")"</f>
        <v>In model (9p/kWh, high capex)</v>
      </c>
      <c r="E4" s="597" t="s">
        <v>321</v>
      </c>
      <c r="F4" s="597" t="s">
        <v>323</v>
      </c>
      <c r="G4" s="597" t="s">
        <v>302</v>
      </c>
      <c r="H4" s="597" t="s">
        <v>286</v>
      </c>
      <c r="I4" s="597" t="s">
        <v>303</v>
      </c>
      <c r="J4" s="597" t="s">
        <v>287</v>
      </c>
      <c r="K4" s="597" t="s">
        <v>324</v>
      </c>
      <c r="L4" s="597" t="s">
        <v>326</v>
      </c>
      <c r="M4" s="597" t="s">
        <v>298</v>
      </c>
      <c r="N4" s="597" t="s">
        <v>299</v>
      </c>
      <c r="O4" s="597" t="s">
        <v>300</v>
      </c>
      <c r="P4" s="598" t="s">
        <v>301</v>
      </c>
    </row>
    <row r="5" spans="1:17" s="596" customFormat="1" ht="15" x14ac:dyDescent="0.35">
      <c r="A5" s="594"/>
      <c r="B5" s="594"/>
      <c r="C5" s="595"/>
      <c r="D5" s="601" t="s">
        <v>306</v>
      </c>
      <c r="E5" s="599" t="s">
        <v>322</v>
      </c>
      <c r="F5" s="599" t="s">
        <v>322</v>
      </c>
      <c r="G5" s="599" t="s">
        <v>315</v>
      </c>
      <c r="H5" s="599" t="s">
        <v>314</v>
      </c>
      <c r="I5" s="599" t="s">
        <v>316</v>
      </c>
      <c r="J5" s="599" t="s">
        <v>316</v>
      </c>
      <c r="K5" s="599" t="s">
        <v>325</v>
      </c>
      <c r="L5" s="599" t="s">
        <v>327</v>
      </c>
      <c r="M5" s="599" t="s">
        <v>317</v>
      </c>
      <c r="N5" s="599" t="s">
        <v>318</v>
      </c>
      <c r="O5" s="599" t="s">
        <v>319</v>
      </c>
      <c r="P5" s="600" t="s">
        <v>320</v>
      </c>
    </row>
    <row r="6" spans="1:17" ht="15" x14ac:dyDescent="0.35">
      <c r="A6" s="189"/>
      <c r="B6" s="750" t="s">
        <v>21</v>
      </c>
      <c r="C6" s="751"/>
      <c r="D6" s="751"/>
      <c r="E6" s="751"/>
      <c r="F6" s="751"/>
      <c r="G6" s="751"/>
      <c r="H6" s="751"/>
      <c r="I6" s="751"/>
      <c r="J6" s="751"/>
      <c r="K6" s="751"/>
      <c r="L6" s="751"/>
      <c r="M6" s="751"/>
      <c r="N6" s="751"/>
      <c r="O6" s="751"/>
      <c r="P6" s="752"/>
    </row>
    <row r="7" spans="1:17" x14ac:dyDescent="0.25">
      <c r="A7" s="189"/>
      <c r="B7" s="311" t="s">
        <v>243</v>
      </c>
      <c r="C7" s="312" t="s">
        <v>22</v>
      </c>
      <c r="D7" s="331">
        <f>INDEX(E7:P7,MATCH('Cash Flow Model'!$B$3,'Revenue sensitivities'!$E$4:$P$4,0))</f>
        <v>9</v>
      </c>
      <c r="E7" s="496">
        <v>9</v>
      </c>
      <c r="F7" s="497">
        <v>9</v>
      </c>
      <c r="G7" s="497">
        <v>10</v>
      </c>
      <c r="H7" s="497">
        <v>10</v>
      </c>
      <c r="I7" s="497">
        <v>12</v>
      </c>
      <c r="J7" s="497">
        <v>12</v>
      </c>
      <c r="K7" s="497">
        <v>9</v>
      </c>
      <c r="L7" s="497">
        <v>9</v>
      </c>
      <c r="M7" s="497">
        <v>10</v>
      </c>
      <c r="N7" s="497">
        <v>10</v>
      </c>
      <c r="O7" s="497">
        <v>12</v>
      </c>
      <c r="P7" s="497">
        <v>12</v>
      </c>
    </row>
    <row r="8" spans="1:17" x14ac:dyDescent="0.25">
      <c r="A8" s="189"/>
      <c r="B8" s="311" t="s">
        <v>414</v>
      </c>
      <c r="C8" s="312" t="s">
        <v>22</v>
      </c>
      <c r="D8" s="331">
        <f>INDEX(E8:P8,MATCH('Cash Flow Model'!$B$3,'Revenue sensitivities'!$E$4:$P$4,0))</f>
        <v>6</v>
      </c>
      <c r="E8" s="496">
        <v>6</v>
      </c>
      <c r="F8" s="497">
        <v>6</v>
      </c>
      <c r="G8" s="497">
        <v>6</v>
      </c>
      <c r="H8" s="497">
        <v>6</v>
      </c>
      <c r="I8" s="497">
        <v>6</v>
      </c>
      <c r="J8" s="497">
        <v>6</v>
      </c>
      <c r="K8" s="496">
        <v>6</v>
      </c>
      <c r="L8" s="497">
        <v>6</v>
      </c>
      <c r="M8" s="497">
        <v>6</v>
      </c>
      <c r="N8" s="497">
        <v>6</v>
      </c>
      <c r="O8" s="497">
        <v>6</v>
      </c>
      <c r="P8" s="497">
        <v>6</v>
      </c>
    </row>
    <row r="9" spans="1:17" x14ac:dyDescent="0.25">
      <c r="A9" s="189"/>
      <c r="B9" s="311" t="s">
        <v>415</v>
      </c>
      <c r="C9" s="312" t="s">
        <v>22</v>
      </c>
      <c r="D9" s="331">
        <f>INDEX(E9:P9,MATCH('Cash Flow Model'!$B$3,'Revenue sensitivities'!$E$4:$P$4,0))</f>
        <v>5</v>
      </c>
      <c r="E9" s="496">
        <v>5</v>
      </c>
      <c r="F9" s="497">
        <v>5</v>
      </c>
      <c r="G9" s="497">
        <v>5</v>
      </c>
      <c r="H9" s="497">
        <v>5</v>
      </c>
      <c r="I9" s="497">
        <v>5</v>
      </c>
      <c r="J9" s="497">
        <v>5</v>
      </c>
      <c r="K9" s="496">
        <v>5</v>
      </c>
      <c r="L9" s="497">
        <v>5</v>
      </c>
      <c r="M9" s="497">
        <v>5</v>
      </c>
      <c r="N9" s="497">
        <v>5</v>
      </c>
      <c r="O9" s="497">
        <v>5</v>
      </c>
      <c r="P9" s="497">
        <v>5</v>
      </c>
    </row>
    <row r="10" spans="1:17" s="64" customFormat="1" x14ac:dyDescent="0.25">
      <c r="A10" s="313"/>
      <c r="B10" s="484" t="s">
        <v>23</v>
      </c>
      <c r="C10" s="527"/>
      <c r="D10" s="528" t="str">
        <f>INDEX(E10:P10,MATCH('Cash Flow Model'!$B$3,'Revenue sensitivities'!$E$4:$P$4,0))</f>
        <v>None</v>
      </c>
      <c r="E10" s="529" t="s">
        <v>24</v>
      </c>
      <c r="F10" s="530" t="s">
        <v>24</v>
      </c>
      <c r="G10" s="530" t="s">
        <v>24</v>
      </c>
      <c r="H10" s="530" t="s">
        <v>24</v>
      </c>
      <c r="I10" s="530" t="s">
        <v>24</v>
      </c>
      <c r="J10" s="530" t="s">
        <v>24</v>
      </c>
      <c r="K10" s="529" t="s">
        <v>24</v>
      </c>
      <c r="L10" s="530" t="s">
        <v>24</v>
      </c>
      <c r="M10" s="530" t="s">
        <v>24</v>
      </c>
      <c r="N10" s="530" t="s">
        <v>24</v>
      </c>
      <c r="O10" s="530" t="s">
        <v>24</v>
      </c>
      <c r="P10" s="530" t="s">
        <v>24</v>
      </c>
      <c r="Q10" s="5"/>
    </row>
    <row r="12" spans="1:17" ht="15" x14ac:dyDescent="0.35">
      <c r="A12" s="189"/>
      <c r="B12" s="310" t="s">
        <v>25</v>
      </c>
      <c r="C12" s="315"/>
      <c r="D12" s="315"/>
      <c r="E12" s="310"/>
      <c r="F12" s="315"/>
      <c r="G12" s="315"/>
      <c r="H12" s="315"/>
      <c r="I12" s="315"/>
      <c r="J12" s="315"/>
      <c r="K12" s="315"/>
      <c r="L12" s="315"/>
      <c r="M12" s="315"/>
      <c r="N12" s="315"/>
      <c r="O12" s="315"/>
      <c r="P12" s="325"/>
    </row>
    <row r="13" spans="1:17" s="55" customFormat="1" x14ac:dyDescent="0.25">
      <c r="A13" s="316"/>
      <c r="B13" s="317" t="s">
        <v>296</v>
      </c>
      <c r="C13" s="318" t="s">
        <v>5</v>
      </c>
      <c r="D13" s="332">
        <f>INDEX(E13:P13,MATCH('Cash Flow Model'!$B$3,'Revenue sensitivities'!$E$4:$P$4,0))</f>
        <v>0.25</v>
      </c>
      <c r="E13" s="524">
        <v>0</v>
      </c>
      <c r="F13" s="319">
        <v>0.25</v>
      </c>
      <c r="G13" s="319">
        <v>0</v>
      </c>
      <c r="H13" s="319">
        <v>0.25</v>
      </c>
      <c r="I13" s="319">
        <v>0</v>
      </c>
      <c r="J13" s="319">
        <v>0.25</v>
      </c>
      <c r="K13" s="319">
        <v>0.1</v>
      </c>
      <c r="L13" s="319">
        <v>0.25</v>
      </c>
      <c r="M13" s="319">
        <v>0.1</v>
      </c>
      <c r="N13" s="319">
        <v>0.25</v>
      </c>
      <c r="O13" s="319">
        <v>0.1</v>
      </c>
      <c r="P13" s="319">
        <v>0.25</v>
      </c>
      <c r="Q13" s="5"/>
    </row>
    <row r="14" spans="1:17" x14ac:dyDescent="0.25">
      <c r="A14" s="189"/>
      <c r="B14" s="210" t="s">
        <v>416</v>
      </c>
      <c r="C14" s="318" t="s">
        <v>5</v>
      </c>
      <c r="D14" s="332">
        <f>INDEX(E14:P14,MATCH('Cash Flow Model'!$B$3,'Revenue sensitivities'!$E$4:$P$4,0))</f>
        <v>0</v>
      </c>
      <c r="E14" s="495">
        <v>0</v>
      </c>
      <c r="F14" s="525">
        <v>0</v>
      </c>
      <c r="G14" s="525">
        <v>0</v>
      </c>
      <c r="H14" s="525">
        <v>0</v>
      </c>
      <c r="I14" s="525">
        <v>0</v>
      </c>
      <c r="J14" s="525">
        <v>0</v>
      </c>
      <c r="K14" s="526">
        <v>0</v>
      </c>
      <c r="L14" s="525">
        <v>0</v>
      </c>
      <c r="M14" s="525">
        <v>0</v>
      </c>
      <c r="N14" s="525">
        <v>0</v>
      </c>
      <c r="O14" s="525">
        <v>0</v>
      </c>
      <c r="P14" s="525">
        <v>0</v>
      </c>
    </row>
    <row r="15" spans="1:17" s="55" customFormat="1" x14ac:dyDescent="0.25">
      <c r="A15" s="316"/>
      <c r="B15" s="317" t="s">
        <v>297</v>
      </c>
      <c r="C15" s="318" t="s">
        <v>5</v>
      </c>
      <c r="D15" s="332">
        <f>INDEX(E15:P15,MATCH('Cash Flow Model'!$B$3,'Revenue sensitivities'!$E$4:$P$4,0))</f>
        <v>0</v>
      </c>
      <c r="E15" s="524">
        <v>0</v>
      </c>
      <c r="F15" s="321">
        <v>0</v>
      </c>
      <c r="G15" s="321">
        <v>0</v>
      </c>
      <c r="H15" s="321">
        <v>0</v>
      </c>
      <c r="I15" s="321">
        <v>0</v>
      </c>
      <c r="J15" s="321">
        <v>0</v>
      </c>
      <c r="K15" s="321">
        <v>4</v>
      </c>
      <c r="L15" s="321">
        <v>4</v>
      </c>
      <c r="M15" s="321">
        <v>4</v>
      </c>
      <c r="N15" s="321">
        <v>4</v>
      </c>
      <c r="O15" s="321">
        <v>4</v>
      </c>
      <c r="P15" s="321">
        <v>4</v>
      </c>
      <c r="Q15" s="5"/>
    </row>
    <row r="16" spans="1:17" x14ac:dyDescent="0.25">
      <c r="A16" s="189"/>
      <c r="B16" s="213" t="s">
        <v>26</v>
      </c>
      <c r="C16" s="318" t="s">
        <v>5</v>
      </c>
      <c r="D16" s="332">
        <f>INDEX(E16:P16,MATCH('Cash Flow Model'!$B$3,'Revenue sensitivities'!$E$4:$P$4,0))</f>
        <v>0</v>
      </c>
      <c r="E16" s="524">
        <v>0</v>
      </c>
      <c r="F16" s="321">
        <v>0</v>
      </c>
      <c r="G16" s="321">
        <v>0</v>
      </c>
      <c r="H16" s="321">
        <v>0</v>
      </c>
      <c r="I16" s="321">
        <v>0</v>
      </c>
      <c r="J16" s="321">
        <v>0</v>
      </c>
      <c r="K16" s="320">
        <v>0</v>
      </c>
      <c r="L16" s="321">
        <v>0</v>
      </c>
      <c r="M16" s="321">
        <v>0</v>
      </c>
      <c r="N16" s="321">
        <v>0</v>
      </c>
      <c r="O16" s="321">
        <v>0</v>
      </c>
      <c r="P16" s="321">
        <v>0</v>
      </c>
    </row>
    <row r="17" spans="1:17" s="65" customFormat="1" x14ac:dyDescent="0.25">
      <c r="A17" s="322"/>
      <c r="B17" s="213" t="s">
        <v>27</v>
      </c>
      <c r="C17" s="318" t="s">
        <v>5</v>
      </c>
      <c r="D17" s="332">
        <f>INDEX(E17:P17,MATCH('Cash Flow Model'!$B$3,'Revenue sensitivities'!$E$4:$P$4,0))</f>
        <v>0</v>
      </c>
      <c r="E17" s="524">
        <v>0</v>
      </c>
      <c r="F17" s="314">
        <v>0</v>
      </c>
      <c r="G17" s="314">
        <v>0</v>
      </c>
      <c r="H17" s="314">
        <v>0</v>
      </c>
      <c r="I17" s="314">
        <v>0</v>
      </c>
      <c r="J17" s="314">
        <v>0</v>
      </c>
      <c r="K17" s="323">
        <v>0</v>
      </c>
      <c r="L17" s="314">
        <v>0</v>
      </c>
      <c r="M17" s="314">
        <v>0</v>
      </c>
      <c r="N17" s="314">
        <v>0</v>
      </c>
      <c r="O17" s="314">
        <v>0</v>
      </c>
      <c r="P17" s="314">
        <v>0</v>
      </c>
      <c r="Q17" s="5"/>
    </row>
    <row r="18" spans="1:17" ht="15" x14ac:dyDescent="0.35">
      <c r="A18" s="189"/>
      <c r="B18" s="310" t="s">
        <v>30</v>
      </c>
      <c r="C18" s="325"/>
      <c r="D18" s="315"/>
      <c r="E18" s="310"/>
      <c r="F18" s="326"/>
      <c r="G18" s="326"/>
      <c r="H18" s="326"/>
      <c r="I18" s="326"/>
      <c r="J18" s="326"/>
      <c r="K18" s="324"/>
      <c r="L18" s="326"/>
      <c r="M18" s="326"/>
      <c r="N18" s="326"/>
      <c r="O18" s="326"/>
      <c r="P18" s="327"/>
    </row>
    <row r="19" spans="1:17" x14ac:dyDescent="0.25">
      <c r="A19" s="189"/>
      <c r="B19" s="328" t="s">
        <v>14</v>
      </c>
      <c r="C19" s="329" t="s">
        <v>5</v>
      </c>
      <c r="D19" s="333">
        <f>INDEX(E19:P19,MATCH('Cash Flow Model'!$B$3,'Revenue sensitivities'!$E$4:$P$4,0))</f>
        <v>0.03</v>
      </c>
      <c r="E19" s="330">
        <v>0.03</v>
      </c>
      <c r="F19" s="330">
        <v>0.03</v>
      </c>
      <c r="G19" s="330">
        <v>0.03</v>
      </c>
      <c r="H19" s="330">
        <v>0.03</v>
      </c>
      <c r="I19" s="330">
        <v>0.03</v>
      </c>
      <c r="J19" s="330">
        <v>0.03</v>
      </c>
      <c r="K19" s="330">
        <v>0.03</v>
      </c>
      <c r="L19" s="330">
        <v>0.03</v>
      </c>
      <c r="M19" s="330">
        <v>0.03</v>
      </c>
      <c r="N19" s="330">
        <v>0.03</v>
      </c>
      <c r="O19" s="330">
        <v>0.03</v>
      </c>
      <c r="P19" s="330">
        <v>0.03</v>
      </c>
    </row>
    <row r="20" spans="1:17" x14ac:dyDescent="0.25">
      <c r="F20" s="32"/>
    </row>
    <row r="21" spans="1:17" x14ac:dyDescent="0.25">
      <c r="B21" s="7" t="s">
        <v>275</v>
      </c>
    </row>
    <row r="22" spans="1:17" x14ac:dyDescent="0.25">
      <c r="B22" s="165" t="s">
        <v>277</v>
      </c>
      <c r="C22" s="164"/>
      <c r="F22" s="53"/>
    </row>
  </sheetData>
  <protectedRanges>
    <protectedRange password="C897" sqref="E7:P9" name="Range1"/>
  </protectedRanges>
  <mergeCells count="1">
    <mergeCell ref="B6:P6"/>
  </mergeCells>
  <conditionalFormatting sqref="F7:J10 L7:P10 L14:P14 F13:P13 F14:J17 L16:P17">
    <cfRule type="cellIs" dxfId="334" priority="10" operator="equal">
      <formula>$E7</formula>
    </cfRule>
  </conditionalFormatting>
  <conditionalFormatting sqref="K15:P15">
    <cfRule type="cellIs" dxfId="333" priority="3" operator="equal">
      <formula>$E15</formula>
    </cfRule>
  </conditionalFormatting>
  <conditionalFormatting sqref="K7">
    <cfRule type="cellIs" dxfId="332" priority="1" operator="equal">
      <formula>$E7</formula>
    </cfRule>
  </conditionalFormatting>
  <pageMargins left="0.7" right="0.7" top="0.75" bottom="0.75" header="0.3" footer="0.3"/>
  <pageSetup paperSize="9" orientation="portrait"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FE7F841-B80B-4FB0-A314-2BF84AEFEBA5}">
          <x14:formula1>
            <xm:f>'Price indexing'!$B$23:$B$30</xm:f>
          </x14:formula1>
          <xm:sqref>E10:P10 E14:P14</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theme="5"/>
  </sheetPr>
  <dimension ref="A2:BB204"/>
  <sheetViews>
    <sheetView topLeftCell="A28" zoomScale="70" zoomScaleNormal="70" workbookViewId="0">
      <selection activeCell="G69" sqref="G69"/>
    </sheetView>
  </sheetViews>
  <sheetFormatPr defaultColWidth="9.109375" defaultRowHeight="13.2" x14ac:dyDescent="0.25"/>
  <cols>
    <col min="1" max="1" width="44.109375" style="5" customWidth="1"/>
    <col min="2" max="2" width="14.5546875" style="5" bestFit="1" customWidth="1"/>
    <col min="3" max="53" width="10.6640625" style="5" customWidth="1"/>
    <col min="54" max="16384" width="9.109375" style="5"/>
  </cols>
  <sheetData>
    <row r="2" spans="1:54" x14ac:dyDescent="0.25">
      <c r="A2" s="334" t="s">
        <v>31</v>
      </c>
      <c r="B2" s="753" t="s">
        <v>264</v>
      </c>
      <c r="C2" s="754"/>
      <c r="D2" s="755"/>
      <c r="E2" s="189"/>
      <c r="F2" s="759" t="s">
        <v>469</v>
      </c>
      <c r="G2" s="760"/>
      <c r="H2" s="189"/>
      <c r="I2" s="189"/>
      <c r="J2" s="189"/>
      <c r="K2" s="189"/>
      <c r="L2" s="189"/>
      <c r="M2" s="189"/>
      <c r="N2" s="189"/>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row>
    <row r="3" spans="1:54" x14ac:dyDescent="0.25">
      <c r="A3" s="334" t="s">
        <v>32</v>
      </c>
      <c r="B3" s="756" t="s">
        <v>323</v>
      </c>
      <c r="C3" s="757"/>
      <c r="D3" s="758"/>
      <c r="E3" s="189"/>
      <c r="F3" s="761"/>
      <c r="G3" s="762"/>
      <c r="H3" s="662" t="s">
        <v>470</v>
      </c>
      <c r="I3" s="189"/>
      <c r="J3" s="189"/>
      <c r="K3" s="189"/>
      <c r="L3" s="189"/>
      <c r="M3" s="189"/>
      <c r="N3" s="189"/>
      <c r="O3" s="189"/>
      <c r="P3" s="189"/>
      <c r="Q3" s="189"/>
      <c r="R3" s="189"/>
      <c r="S3" s="189"/>
      <c r="T3" s="189"/>
      <c r="U3" s="189"/>
      <c r="V3" s="189"/>
      <c r="W3" s="189"/>
      <c r="X3" s="189"/>
      <c r="Y3" s="189"/>
      <c r="Z3" s="189"/>
      <c r="AA3" s="189"/>
      <c r="AB3" s="189"/>
      <c r="AC3" s="189"/>
      <c r="AD3" s="189"/>
      <c r="AE3" s="189"/>
      <c r="AF3" s="189"/>
      <c r="AG3" s="189"/>
      <c r="AH3" s="189"/>
      <c r="AI3" s="189"/>
      <c r="AJ3" s="189"/>
      <c r="AK3" s="189"/>
      <c r="AL3" s="189"/>
      <c r="AM3" s="189"/>
      <c r="AN3" s="189"/>
      <c r="AO3" s="189"/>
      <c r="AP3" s="189"/>
      <c r="AQ3" s="189"/>
      <c r="AR3" s="189"/>
      <c r="AS3" s="189"/>
      <c r="AT3" s="189"/>
      <c r="AU3" s="189"/>
      <c r="AV3" s="189"/>
      <c r="AW3" s="189"/>
      <c r="AX3" s="189"/>
      <c r="AY3" s="189"/>
      <c r="AZ3" s="189"/>
      <c r="BA3" s="189"/>
    </row>
    <row r="4" spans="1:54" ht="26.4" x14ac:dyDescent="0.25">
      <c r="A4" s="334"/>
      <c r="B4" s="335"/>
      <c r="C4" s="441" t="str">
        <f>IF(C6&gt;'Global assumptions'!$D$7,"Exceeds model life","")</f>
        <v/>
      </c>
      <c r="D4" s="441" t="str">
        <f>IF(D6&gt;'Global assumptions'!$D$7,"Exceeds model life","")</f>
        <v/>
      </c>
      <c r="E4" s="441" t="str">
        <f>IF(E6&gt;'Global assumptions'!$D$7,"Exceeds model life","")</f>
        <v/>
      </c>
      <c r="F4" s="441" t="str">
        <f>IF(F6&gt;'Global assumptions'!$D$7,"Exceeds model life","")</f>
        <v/>
      </c>
      <c r="G4" s="441" t="str">
        <f>IF(G6&gt;'Global assumptions'!$D$7,"Exceeds model life","")</f>
        <v/>
      </c>
      <c r="H4" s="441" t="str">
        <f>IF(H6&gt;'Global assumptions'!$D$7,"Exceeds model life","")</f>
        <v/>
      </c>
      <c r="I4" s="441" t="str">
        <f>IF(I6&gt;'Global assumptions'!$D$7,"Exceeds model life","")</f>
        <v/>
      </c>
      <c r="J4" s="441" t="str">
        <f>IF(J6&gt;'Global assumptions'!$D$7,"Exceeds model life","")</f>
        <v/>
      </c>
      <c r="K4" s="441" t="str">
        <f>IF(K6&gt;'Global assumptions'!$D$7,"Exceeds model life","")</f>
        <v/>
      </c>
      <c r="L4" s="441" t="str">
        <f>IF(L6&gt;'Global assumptions'!$D$7,"Exceeds model life","")</f>
        <v/>
      </c>
      <c r="M4" s="441" t="str">
        <f>IF(M6&gt;'Global assumptions'!$D$7,"Exceeds model life","")</f>
        <v/>
      </c>
      <c r="N4" s="441" t="str">
        <f>IF(N6&gt;'Global assumptions'!$D$7,"Exceeds model life","")</f>
        <v/>
      </c>
      <c r="O4" s="441" t="str">
        <f>IF(O6&gt;'Global assumptions'!$D$7,"Exceeds model life","")</f>
        <v/>
      </c>
      <c r="P4" s="441" t="str">
        <f>IF(P6&gt;'Global assumptions'!$D$7,"Exceeds model life","")</f>
        <v/>
      </c>
      <c r="Q4" s="441" t="str">
        <f>IF(Q6&gt;'Global assumptions'!$D$7,"Exceeds model life","")</f>
        <v/>
      </c>
      <c r="R4" s="441" t="str">
        <f>IF(R6&gt;'Global assumptions'!$D$7,"Exceeds model life","")</f>
        <v/>
      </c>
      <c r="S4" s="441" t="str">
        <f>IF(S6&gt;'Global assumptions'!$D$7,"Exceeds model life","")</f>
        <v/>
      </c>
      <c r="T4" s="441" t="str">
        <f>IF(T6&gt;'Global assumptions'!$D$7,"Exceeds model life","")</f>
        <v/>
      </c>
      <c r="U4" s="441" t="str">
        <f>IF(U6&gt;'Global assumptions'!$D$7,"Exceeds model life","")</f>
        <v/>
      </c>
      <c r="V4" s="441" t="str">
        <f>IF(V6&gt;'Global assumptions'!$D$7,"Exceeds model life","")</f>
        <v/>
      </c>
      <c r="W4" s="441" t="str">
        <f>IF(W6&gt;'Global assumptions'!$D$7,"Exceeds model life","")</f>
        <v/>
      </c>
      <c r="X4" s="441" t="str">
        <f>IF(X6&gt;'Global assumptions'!$D$7,"Exceeds model life","")</f>
        <v/>
      </c>
      <c r="Y4" s="441" t="str">
        <f>IF(Y6&gt;'Global assumptions'!$D$7,"Exceeds model life","")</f>
        <v/>
      </c>
      <c r="Z4" s="441" t="str">
        <f>IF(Z6&gt;'Global assumptions'!$D$7,"Exceeds model life","")</f>
        <v/>
      </c>
      <c r="AA4" s="441" t="str">
        <f>IF(AA6&gt;'Global assumptions'!$D$7,"Exceeds model life","")</f>
        <v/>
      </c>
      <c r="AB4" s="441" t="str">
        <f>IF(AB6&gt;'Global assumptions'!$D$7,"Exceeds model life","")</f>
        <v/>
      </c>
      <c r="AC4" s="442" t="str">
        <f>IF(AC6&gt;'Global assumptions'!$D$7,"Exceeds model life","")</f>
        <v>Exceeds model life</v>
      </c>
      <c r="AD4" s="442" t="str">
        <f>IF(AD6&gt;'Global assumptions'!$D$7,"Exceeds model life","")</f>
        <v>Exceeds model life</v>
      </c>
      <c r="AE4" s="442" t="str">
        <f>IF(AE6&gt;'Global assumptions'!$D$7,"Exceeds model life","")</f>
        <v>Exceeds model life</v>
      </c>
      <c r="AF4" s="442" t="str">
        <f>IF(AF6&gt;'Global assumptions'!$D$7,"Exceeds model life","")</f>
        <v>Exceeds model life</v>
      </c>
      <c r="AG4" s="442" t="str">
        <f>IF(AG6&gt;'Global assumptions'!$D$7,"Exceeds model life","")</f>
        <v>Exceeds model life</v>
      </c>
      <c r="AH4" s="442" t="str">
        <f>IF(AH6&gt;'Global assumptions'!$D$7,"Exceeds model life","")</f>
        <v>Exceeds model life</v>
      </c>
      <c r="AI4" s="442" t="str">
        <f>IF(AI6&gt;'Global assumptions'!$D$7,"Exceeds model life","")</f>
        <v>Exceeds model life</v>
      </c>
      <c r="AJ4" s="442" t="str">
        <f>IF(AJ6&gt;'Global assumptions'!$D$7,"Exceeds model life","")</f>
        <v>Exceeds model life</v>
      </c>
      <c r="AK4" s="442" t="str">
        <f>IF(AK6&gt;'Global assumptions'!$D$7,"Exceeds model life","")</f>
        <v>Exceeds model life</v>
      </c>
      <c r="AL4" s="442" t="str">
        <f>IF(AL6&gt;'Global assumptions'!$D$7,"Exceeds model life","")</f>
        <v>Exceeds model life</v>
      </c>
      <c r="AM4" s="442" t="str">
        <f>IF(AM6&gt;'Global assumptions'!$D$7,"Exceeds model life","")</f>
        <v>Exceeds model life</v>
      </c>
      <c r="AN4" s="442" t="str">
        <f>IF(AN6&gt;'Global assumptions'!$D$7,"Exceeds model life","")</f>
        <v>Exceeds model life</v>
      </c>
      <c r="AO4" s="442" t="str">
        <f>IF(AO6&gt;'Global assumptions'!$D$7,"Exceeds model life","")</f>
        <v>Exceeds model life</v>
      </c>
      <c r="AP4" s="442" t="str">
        <f>IF(AP6&gt;'Global assumptions'!$D$7,"Exceeds model life","")</f>
        <v>Exceeds model life</v>
      </c>
      <c r="AQ4" s="442" t="str">
        <f>IF(AQ6&gt;'Global assumptions'!$D$7,"Exceeds model life","")</f>
        <v>Exceeds model life</v>
      </c>
      <c r="AR4" s="442" t="str">
        <f>IF(AR6&gt;'Global assumptions'!$D$7,"Exceeds model life","")</f>
        <v>Exceeds model life</v>
      </c>
      <c r="AS4" s="442" t="str">
        <f>IF(AS6&gt;'Global assumptions'!$D$7,"Exceeds model life","")</f>
        <v>Exceeds model life</v>
      </c>
      <c r="AT4" s="442" t="str">
        <f>IF(AT6&gt;'Global assumptions'!$D$7,"Exceeds model life","")</f>
        <v>Exceeds model life</v>
      </c>
      <c r="AU4" s="442" t="str">
        <f>IF(AU6&gt;'Global assumptions'!$D$7,"Exceeds model life","")</f>
        <v>Exceeds model life</v>
      </c>
      <c r="AV4" s="442" t="str">
        <f>IF(AV6&gt;'Global assumptions'!$D$7,"Exceeds model life","")</f>
        <v>Exceeds model life</v>
      </c>
      <c r="AW4" s="442" t="str">
        <f>IF(AW6&gt;'Global assumptions'!$D$7,"Exceeds model life","")</f>
        <v>Exceeds model life</v>
      </c>
      <c r="AX4" s="442" t="str">
        <f>IF(AX6&gt;'Global assumptions'!$D$7,"Exceeds model life","")</f>
        <v>Exceeds model life</v>
      </c>
      <c r="AY4" s="442" t="str">
        <f>IF(AY6&gt;'Global assumptions'!$D$7,"Exceeds model life","")</f>
        <v>Exceeds model life</v>
      </c>
      <c r="AZ4" s="442" t="str">
        <f>IF(AZ6&gt;'Global assumptions'!$D$7,"Exceeds model life","")</f>
        <v>Exceeds model life</v>
      </c>
      <c r="BA4" s="442" t="str">
        <f>IF(BA6&gt;'Global assumptions'!$D$7,"Exceeds model life","")</f>
        <v>Exceeds model life</v>
      </c>
    </row>
    <row r="5" spans="1:54" s="54" customFormat="1" ht="16.5" customHeight="1" x14ac:dyDescent="0.3">
      <c r="A5" s="337"/>
      <c r="B5" s="338"/>
      <c r="C5" s="439">
        <f>'Global assumptions'!D6</f>
        <v>2022</v>
      </c>
      <c r="D5" s="439">
        <f t="shared" ref="D5:AI5" si="0">C5+1</f>
        <v>2023</v>
      </c>
      <c r="E5" s="439">
        <f t="shared" si="0"/>
        <v>2024</v>
      </c>
      <c r="F5" s="439">
        <f t="shared" si="0"/>
        <v>2025</v>
      </c>
      <c r="G5" s="439">
        <f t="shared" si="0"/>
        <v>2026</v>
      </c>
      <c r="H5" s="439">
        <f t="shared" si="0"/>
        <v>2027</v>
      </c>
      <c r="I5" s="439">
        <f t="shared" si="0"/>
        <v>2028</v>
      </c>
      <c r="J5" s="439">
        <f t="shared" si="0"/>
        <v>2029</v>
      </c>
      <c r="K5" s="439">
        <f t="shared" si="0"/>
        <v>2030</v>
      </c>
      <c r="L5" s="439">
        <f t="shared" si="0"/>
        <v>2031</v>
      </c>
      <c r="M5" s="439">
        <f t="shared" si="0"/>
        <v>2032</v>
      </c>
      <c r="N5" s="439">
        <f t="shared" si="0"/>
        <v>2033</v>
      </c>
      <c r="O5" s="439">
        <f t="shared" si="0"/>
        <v>2034</v>
      </c>
      <c r="P5" s="439">
        <f t="shared" si="0"/>
        <v>2035</v>
      </c>
      <c r="Q5" s="439">
        <f t="shared" si="0"/>
        <v>2036</v>
      </c>
      <c r="R5" s="439">
        <f t="shared" si="0"/>
        <v>2037</v>
      </c>
      <c r="S5" s="439">
        <f t="shared" si="0"/>
        <v>2038</v>
      </c>
      <c r="T5" s="439">
        <f t="shared" si="0"/>
        <v>2039</v>
      </c>
      <c r="U5" s="439">
        <f t="shared" si="0"/>
        <v>2040</v>
      </c>
      <c r="V5" s="439">
        <f t="shared" si="0"/>
        <v>2041</v>
      </c>
      <c r="W5" s="439">
        <f t="shared" si="0"/>
        <v>2042</v>
      </c>
      <c r="X5" s="439">
        <f t="shared" si="0"/>
        <v>2043</v>
      </c>
      <c r="Y5" s="439">
        <f t="shared" si="0"/>
        <v>2044</v>
      </c>
      <c r="Z5" s="439">
        <f t="shared" si="0"/>
        <v>2045</v>
      </c>
      <c r="AA5" s="439">
        <f t="shared" si="0"/>
        <v>2046</v>
      </c>
      <c r="AB5" s="439">
        <f t="shared" si="0"/>
        <v>2047</v>
      </c>
      <c r="AC5" s="439">
        <f t="shared" si="0"/>
        <v>2048</v>
      </c>
      <c r="AD5" s="439">
        <f t="shared" si="0"/>
        <v>2049</v>
      </c>
      <c r="AE5" s="439">
        <f t="shared" si="0"/>
        <v>2050</v>
      </c>
      <c r="AF5" s="439">
        <f t="shared" si="0"/>
        <v>2051</v>
      </c>
      <c r="AG5" s="439">
        <f t="shared" si="0"/>
        <v>2052</v>
      </c>
      <c r="AH5" s="439">
        <f t="shared" si="0"/>
        <v>2053</v>
      </c>
      <c r="AI5" s="439">
        <f t="shared" si="0"/>
        <v>2054</v>
      </c>
      <c r="AJ5" s="439">
        <f t="shared" ref="AJ5:BA5" si="1">AI5+1</f>
        <v>2055</v>
      </c>
      <c r="AK5" s="439">
        <f t="shared" si="1"/>
        <v>2056</v>
      </c>
      <c r="AL5" s="439">
        <f t="shared" si="1"/>
        <v>2057</v>
      </c>
      <c r="AM5" s="439">
        <f t="shared" si="1"/>
        <v>2058</v>
      </c>
      <c r="AN5" s="439">
        <f t="shared" si="1"/>
        <v>2059</v>
      </c>
      <c r="AO5" s="439">
        <f t="shared" si="1"/>
        <v>2060</v>
      </c>
      <c r="AP5" s="439">
        <f t="shared" si="1"/>
        <v>2061</v>
      </c>
      <c r="AQ5" s="439">
        <f t="shared" si="1"/>
        <v>2062</v>
      </c>
      <c r="AR5" s="439">
        <f t="shared" si="1"/>
        <v>2063</v>
      </c>
      <c r="AS5" s="439">
        <f t="shared" si="1"/>
        <v>2064</v>
      </c>
      <c r="AT5" s="439">
        <f t="shared" si="1"/>
        <v>2065</v>
      </c>
      <c r="AU5" s="439">
        <f t="shared" si="1"/>
        <v>2066</v>
      </c>
      <c r="AV5" s="439">
        <f t="shared" si="1"/>
        <v>2067</v>
      </c>
      <c r="AW5" s="439">
        <f t="shared" si="1"/>
        <v>2068</v>
      </c>
      <c r="AX5" s="439">
        <f t="shared" si="1"/>
        <v>2069</v>
      </c>
      <c r="AY5" s="439">
        <f t="shared" si="1"/>
        <v>2070</v>
      </c>
      <c r="AZ5" s="439">
        <f t="shared" si="1"/>
        <v>2071</v>
      </c>
      <c r="BA5" s="439">
        <f t="shared" si="1"/>
        <v>2072</v>
      </c>
    </row>
    <row r="6" spans="1:54" s="42" customFormat="1" ht="14.4" x14ac:dyDescent="0.3">
      <c r="A6" s="339" t="s">
        <v>33</v>
      </c>
      <c r="B6" s="340"/>
      <c r="C6" s="341">
        <v>0</v>
      </c>
      <c r="D6" s="341">
        <v>1</v>
      </c>
      <c r="E6" s="341">
        <v>2</v>
      </c>
      <c r="F6" s="341">
        <v>3</v>
      </c>
      <c r="G6" s="341">
        <v>4</v>
      </c>
      <c r="H6" s="341">
        <v>5</v>
      </c>
      <c r="I6" s="341">
        <v>6</v>
      </c>
      <c r="J6" s="341">
        <v>7</v>
      </c>
      <c r="K6" s="341">
        <v>8</v>
      </c>
      <c r="L6" s="341">
        <v>9</v>
      </c>
      <c r="M6" s="341">
        <v>10</v>
      </c>
      <c r="N6" s="341">
        <v>11</v>
      </c>
      <c r="O6" s="341">
        <v>12</v>
      </c>
      <c r="P6" s="341">
        <v>13</v>
      </c>
      <c r="Q6" s="341">
        <v>14</v>
      </c>
      <c r="R6" s="341">
        <v>15</v>
      </c>
      <c r="S6" s="341">
        <v>16</v>
      </c>
      <c r="T6" s="341">
        <v>17</v>
      </c>
      <c r="U6" s="341">
        <v>18</v>
      </c>
      <c r="V6" s="341">
        <v>19</v>
      </c>
      <c r="W6" s="341">
        <v>20</v>
      </c>
      <c r="X6" s="341">
        <v>21</v>
      </c>
      <c r="Y6" s="341">
        <v>22</v>
      </c>
      <c r="Z6" s="341">
        <v>23</v>
      </c>
      <c r="AA6" s="341">
        <v>24</v>
      </c>
      <c r="AB6" s="341">
        <v>25</v>
      </c>
      <c r="AC6" s="341">
        <v>26</v>
      </c>
      <c r="AD6" s="341">
        <v>27</v>
      </c>
      <c r="AE6" s="341">
        <v>28</v>
      </c>
      <c r="AF6" s="341">
        <v>29</v>
      </c>
      <c r="AG6" s="341">
        <v>30</v>
      </c>
      <c r="AH6" s="341">
        <v>31</v>
      </c>
      <c r="AI6" s="341">
        <v>32</v>
      </c>
      <c r="AJ6" s="341">
        <v>33</v>
      </c>
      <c r="AK6" s="341">
        <v>34</v>
      </c>
      <c r="AL6" s="341">
        <v>35</v>
      </c>
      <c r="AM6" s="341">
        <v>36</v>
      </c>
      <c r="AN6" s="341">
        <v>37</v>
      </c>
      <c r="AO6" s="341">
        <v>38</v>
      </c>
      <c r="AP6" s="341">
        <v>39</v>
      </c>
      <c r="AQ6" s="341">
        <v>40</v>
      </c>
      <c r="AR6" s="341">
        <v>41</v>
      </c>
      <c r="AS6" s="341">
        <v>42</v>
      </c>
      <c r="AT6" s="341">
        <v>43</v>
      </c>
      <c r="AU6" s="341">
        <v>44</v>
      </c>
      <c r="AV6" s="341">
        <v>45</v>
      </c>
      <c r="AW6" s="341">
        <v>46</v>
      </c>
      <c r="AX6" s="341">
        <v>47</v>
      </c>
      <c r="AY6" s="341">
        <v>48</v>
      </c>
      <c r="AZ6" s="341">
        <v>49</v>
      </c>
      <c r="BA6" s="341">
        <v>50</v>
      </c>
    </row>
    <row r="7" spans="1:54" ht="6" customHeight="1" x14ac:dyDescent="0.25">
      <c r="A7" s="334"/>
      <c r="B7" s="335"/>
      <c r="C7" s="336"/>
      <c r="D7" s="336"/>
      <c r="E7" s="189"/>
      <c r="F7" s="189"/>
      <c r="G7" s="189"/>
      <c r="H7" s="189"/>
      <c r="I7" s="189"/>
      <c r="J7" s="189"/>
      <c r="K7" s="189"/>
      <c r="L7" s="189"/>
      <c r="M7" s="189"/>
      <c r="N7" s="189"/>
      <c r="O7" s="189"/>
      <c r="P7" s="189"/>
      <c r="Q7" s="189"/>
      <c r="R7" s="189"/>
      <c r="S7" s="189"/>
      <c r="T7" s="189"/>
      <c r="U7" s="189"/>
      <c r="V7" s="189"/>
      <c r="W7" s="189"/>
      <c r="X7" s="189"/>
      <c r="Y7" s="189"/>
      <c r="Z7" s="189"/>
      <c r="AA7" s="189"/>
      <c r="AB7" s="189"/>
      <c r="AC7" s="189"/>
      <c r="AD7" s="189"/>
      <c r="AE7" s="189"/>
      <c r="AF7" s="189"/>
      <c r="AG7" s="189"/>
      <c r="AH7" s="189"/>
      <c r="AI7" s="189"/>
      <c r="AJ7" s="189"/>
      <c r="AK7" s="189"/>
      <c r="AL7" s="189"/>
      <c r="AM7" s="189"/>
      <c r="AN7" s="189"/>
      <c r="AO7" s="189"/>
      <c r="AP7" s="189"/>
      <c r="AQ7" s="189"/>
      <c r="AR7" s="189"/>
      <c r="AS7" s="189"/>
      <c r="AT7" s="189"/>
      <c r="AU7" s="189"/>
      <c r="AV7" s="189"/>
      <c r="AW7" s="189"/>
      <c r="AX7" s="189"/>
      <c r="AY7" s="189"/>
      <c r="AZ7" s="189"/>
      <c r="BA7" s="189"/>
    </row>
    <row r="8" spans="1:54" s="72" customFormat="1" ht="14.4" x14ac:dyDescent="0.3">
      <c r="A8" s="342" t="s">
        <v>34</v>
      </c>
      <c r="B8" s="343"/>
      <c r="C8" s="344">
        <v>1</v>
      </c>
      <c r="D8" s="396">
        <f>(1+IF('Global assumptions'!$D$4="yes",'Global assumptions'!$D$5,0))^D6</f>
        <v>1.0209999999999999</v>
      </c>
      <c r="E8" s="396">
        <f>(1+IF('Global assumptions'!$D$4="yes",'Global assumptions'!$D$5,0))^E6</f>
        <v>1.0424409999999997</v>
      </c>
      <c r="F8" s="396">
        <f>(1+IF('Global assumptions'!$D$4="yes",'Global assumptions'!$D$5,0))^F6</f>
        <v>1.0643322609999997</v>
      </c>
      <c r="G8" s="396">
        <f>(1+IF('Global assumptions'!$D$4="yes",'Global assumptions'!$D$5,0))^G6</f>
        <v>1.0866832384809995</v>
      </c>
      <c r="H8" s="396">
        <f>(1+IF('Global assumptions'!$D$4="yes",'Global assumptions'!$D$5,0))^H6</f>
        <v>1.1095035864891003</v>
      </c>
      <c r="I8" s="396">
        <f>(1+IF('Global assumptions'!$D$4="yes",'Global assumptions'!$D$5,0))^I6</f>
        <v>1.1328031618053713</v>
      </c>
      <c r="J8" s="396">
        <f>(1+IF('Global assumptions'!$D$4="yes",'Global assumptions'!$D$5,0))^J6</f>
        <v>1.156592028203284</v>
      </c>
      <c r="K8" s="396">
        <f>(1+IF('Global assumptions'!$D$4="yes",'Global assumptions'!$D$5,0))^K6</f>
        <v>1.1808804607955528</v>
      </c>
      <c r="L8" s="396">
        <f>(1+IF('Global assumptions'!$D$4="yes",'Global assumptions'!$D$5,0))^L6</f>
        <v>1.2056789504722591</v>
      </c>
      <c r="M8" s="396">
        <f>(1+IF('Global assumptions'!$D$4="yes",'Global assumptions'!$D$5,0))^M6</f>
        <v>1.2309982084321764</v>
      </c>
      <c r="N8" s="396">
        <f>(1+IF('Global assumptions'!$D$4="yes",'Global assumptions'!$D$5,0))^N6</f>
        <v>1.2568491708092522</v>
      </c>
      <c r="O8" s="396">
        <f>(1+IF('Global assumptions'!$D$4="yes",'Global assumptions'!$D$5,0))^O6</f>
        <v>1.2832430033962461</v>
      </c>
      <c r="P8" s="396">
        <f>(1+IF('Global assumptions'!$D$4="yes",'Global assumptions'!$D$5,0))^P6</f>
        <v>1.3101911064675671</v>
      </c>
      <c r="Q8" s="396">
        <f>(1+IF('Global assumptions'!$D$4="yes",'Global assumptions'!$D$5,0))^Q6</f>
        <v>1.337705119703386</v>
      </c>
      <c r="R8" s="396">
        <f>(1+IF('Global assumptions'!$D$4="yes",'Global assumptions'!$D$5,0))^R6</f>
        <v>1.3657969272171568</v>
      </c>
      <c r="S8" s="396">
        <f>(1+IF('Global assumptions'!$D$4="yes",'Global assumptions'!$D$5,0))^S6</f>
        <v>1.3944786626887171</v>
      </c>
      <c r="T8" s="396">
        <f>(1+IF('Global assumptions'!$D$4="yes",'Global assumptions'!$D$5,0))^T6</f>
        <v>1.4237627146051801</v>
      </c>
      <c r="U8" s="396">
        <f>(1+IF('Global assumptions'!$D$4="yes",'Global assumptions'!$D$5,0))^U6</f>
        <v>1.4536617316118885</v>
      </c>
      <c r="V8" s="396">
        <f>(1+IF('Global assumptions'!$D$4="yes",'Global assumptions'!$D$5,0))^V6</f>
        <v>1.4841886279757381</v>
      </c>
      <c r="W8" s="396">
        <f>(1+IF('Global assumptions'!$D$4="yes",'Global assumptions'!$D$5,0))^W6</f>
        <v>1.5153565891632284</v>
      </c>
      <c r="X8" s="396">
        <f>(1+IF('Global assumptions'!$D$4="yes",'Global assumptions'!$D$5,0))^X6</f>
        <v>1.547179077535656</v>
      </c>
      <c r="Y8" s="396">
        <f>(1+IF('Global assumptions'!$D$4="yes",'Global assumptions'!$D$5,0))^Y6</f>
        <v>1.5796698381639047</v>
      </c>
      <c r="Z8" s="396">
        <f>(1+IF('Global assumptions'!$D$4="yes",'Global assumptions'!$D$5,0))^Z6</f>
        <v>1.6128429047653465</v>
      </c>
      <c r="AA8" s="396">
        <f>(1+IF('Global assumptions'!$D$4="yes",'Global assumptions'!$D$5,0))^AA6</f>
        <v>1.6467126057654184</v>
      </c>
      <c r="AB8" s="396">
        <f>(1+IF('Global assumptions'!$D$4="yes",'Global assumptions'!$D$5,0))^AB6</f>
        <v>1.681293570486492</v>
      </c>
      <c r="AC8" s="396">
        <f>(1+IF('Global assumptions'!$D$4="yes",'Global assumptions'!$D$5,0))^AC6</f>
        <v>1.7166007354667081</v>
      </c>
      <c r="AD8" s="396">
        <f>(1+IF('Global assumptions'!$D$4="yes",'Global assumptions'!$D$5,0))^AD6</f>
        <v>1.7526493509115091</v>
      </c>
      <c r="AE8" s="396">
        <f>(1+IF('Global assumptions'!$D$4="yes",'Global assumptions'!$D$5,0))^AE6</f>
        <v>1.7894549872806502</v>
      </c>
      <c r="AF8" s="396">
        <f>(1+IF('Global assumptions'!$D$4="yes",'Global assumptions'!$D$5,0))^AF6</f>
        <v>1.8270335420135435</v>
      </c>
      <c r="AG8" s="396">
        <f>(1+IF('Global assumptions'!$D$4="yes",'Global assumptions'!$D$5,0))^AG6</f>
        <v>1.865401246395828</v>
      </c>
      <c r="AH8" s="396">
        <f>(1+IF('Global assumptions'!$D$4="yes",'Global assumptions'!$D$5,0))^AH6</f>
        <v>1.90457467257014</v>
      </c>
      <c r="AI8" s="396">
        <f>(1+IF('Global assumptions'!$D$4="yes",'Global assumptions'!$D$5,0))^AI6</f>
        <v>1.9445707406941128</v>
      </c>
      <c r="AJ8" s="396">
        <f>(1+IF('Global assumptions'!$D$4="yes",'Global assumptions'!$D$5,0))^AJ6</f>
        <v>1.985406726248689</v>
      </c>
      <c r="AK8" s="396">
        <f>(1+IF('Global assumptions'!$D$4="yes",'Global assumptions'!$D$5,0))^AK6</f>
        <v>2.027100267499911</v>
      </c>
      <c r="AL8" s="396">
        <f>(1+IF('Global assumptions'!$D$4="yes",'Global assumptions'!$D$5,0))^AL6</f>
        <v>2.0696693731174092</v>
      </c>
      <c r="AM8" s="396">
        <f>(1+IF('Global assumptions'!$D$4="yes",'Global assumptions'!$D$5,0))^AM6</f>
        <v>2.1131324299528744</v>
      </c>
      <c r="AN8" s="396">
        <f>(1+IF('Global assumptions'!$D$4="yes",'Global assumptions'!$D$5,0))^AN6</f>
        <v>2.1575082109818844</v>
      </c>
      <c r="AO8" s="396">
        <f>(1+IF('Global assumptions'!$D$4="yes",'Global assumptions'!$D$5,0))^AO6</f>
        <v>2.2028158834125038</v>
      </c>
      <c r="AP8" s="396">
        <f>(1+IF('Global assumptions'!$D$4="yes",'Global assumptions'!$D$5,0))^AP6</f>
        <v>2.249075016964166</v>
      </c>
      <c r="AQ8" s="396">
        <f>(1+IF('Global assumptions'!$D$4="yes",'Global assumptions'!$D$5,0))^AQ6</f>
        <v>2.2963055923204134</v>
      </c>
      <c r="AR8" s="396">
        <f>(1+IF('Global assumptions'!$D$4="yes",'Global assumptions'!$D$5,0))^AR6</f>
        <v>2.3445280097591414</v>
      </c>
      <c r="AS8" s="396">
        <f>(1+IF('Global assumptions'!$D$4="yes",'Global assumptions'!$D$5,0))^AS6</f>
        <v>2.3937630979640834</v>
      </c>
      <c r="AT8" s="396">
        <f>(1+IF('Global assumptions'!$D$4="yes",'Global assumptions'!$D$5,0))^AT6</f>
        <v>2.4440321230213291</v>
      </c>
      <c r="AU8" s="396">
        <f>(1+IF('Global assumptions'!$D$4="yes",'Global assumptions'!$D$5,0))^AU6</f>
        <v>2.4953567976047761</v>
      </c>
      <c r="AV8" s="396">
        <f>(1+IF('Global assumptions'!$D$4="yes",'Global assumptions'!$D$5,0))^AV6</f>
        <v>2.5477592903544761</v>
      </c>
      <c r="AW8" s="396">
        <f>(1+IF('Global assumptions'!$D$4="yes",'Global assumptions'!$D$5,0))^AW6</f>
        <v>2.6012622354519204</v>
      </c>
      <c r="AX8" s="396">
        <f>(1+IF('Global assumptions'!$D$4="yes",'Global assumptions'!$D$5,0))^AX6</f>
        <v>2.6558887423964102</v>
      </c>
      <c r="AY8" s="396">
        <f>(1+IF('Global assumptions'!$D$4="yes",'Global assumptions'!$D$5,0))^AY6</f>
        <v>2.7116624059867345</v>
      </c>
      <c r="AZ8" s="396">
        <f>(1+IF('Global assumptions'!$D$4="yes",'Global assumptions'!$D$5,0))^AZ6</f>
        <v>2.7686073165124561</v>
      </c>
      <c r="BA8" s="396">
        <f>(1+IF('Global assumptions'!$D$4="yes",'Global assumptions'!$D$5,0))^BA6</f>
        <v>2.8267480701592165</v>
      </c>
    </row>
    <row r="9" spans="1:54" s="71" customFormat="1" ht="14.4" x14ac:dyDescent="0.3">
      <c r="A9" s="345" t="s">
        <v>35</v>
      </c>
      <c r="B9" s="346"/>
      <c r="C9" s="347">
        <v>1</v>
      </c>
      <c r="D9" s="397">
        <f>1/((1+'Global assumptions'!$D$8)^D6)</f>
        <v>0.96618357487922713</v>
      </c>
      <c r="E9" s="397">
        <f>1/((1+'Global assumptions'!$D$8)^E6)</f>
        <v>0.93351070036640305</v>
      </c>
      <c r="F9" s="397">
        <f>1/((1+'Global assumptions'!$D$8)^F6)</f>
        <v>0.90194270566802237</v>
      </c>
      <c r="G9" s="397">
        <f>1/((1+'Global assumptions'!$D$8)^G6)</f>
        <v>0.87144222769857238</v>
      </c>
      <c r="H9" s="397">
        <f>1/((1+'Global assumptions'!$D$8)^H6)</f>
        <v>0.84197316685852419</v>
      </c>
      <c r="I9" s="397">
        <f>1/((1+'Global assumptions'!$D$8)^I6)</f>
        <v>0.81350064430775282</v>
      </c>
      <c r="J9" s="397">
        <f>1/((1+'Global assumptions'!$D$8)^J6)</f>
        <v>0.78599096068381913</v>
      </c>
      <c r="K9" s="397">
        <f>1/((1+'Global assumptions'!$D$8)^K6)</f>
        <v>0.75941155621625056</v>
      </c>
      <c r="L9" s="397">
        <f>1/((1+'Global assumptions'!$D$8)^L6)</f>
        <v>0.73373097218961414</v>
      </c>
      <c r="M9" s="397">
        <f>1/((1+'Global assumptions'!$D$8)^M6)</f>
        <v>0.70891881370977217</v>
      </c>
      <c r="N9" s="397">
        <f>1/((1+'Global assumptions'!$D$8)^N6)</f>
        <v>0.68494571372924851</v>
      </c>
      <c r="O9" s="397">
        <f>1/((1+'Global assumptions'!$D$8)^O6)</f>
        <v>0.66178329828912896</v>
      </c>
      <c r="P9" s="397">
        <f>1/((1+'Global assumptions'!$D$8)^P6)</f>
        <v>0.63940415293635666</v>
      </c>
      <c r="Q9" s="397">
        <f>1/((1+'Global assumptions'!$D$8)^Q6)</f>
        <v>0.61778179027667302</v>
      </c>
      <c r="R9" s="397">
        <f>1/((1+'Global assumptions'!$D$8)^R6)</f>
        <v>0.59689061862480497</v>
      </c>
      <c r="S9" s="397">
        <f>1/((1+'Global assumptions'!$D$8)^S6)</f>
        <v>0.57670591171478747</v>
      </c>
      <c r="T9" s="397">
        <f>1/((1+'Global assumptions'!$D$8)^T6)</f>
        <v>0.55720377943457733</v>
      </c>
      <c r="U9" s="397">
        <f>1/((1+'Global assumptions'!$D$8)^U6)</f>
        <v>0.53836113955031628</v>
      </c>
      <c r="V9" s="397">
        <f>1/((1+'Global assumptions'!$D$8)^V6)</f>
        <v>0.52015569038677911</v>
      </c>
      <c r="W9" s="397">
        <f>1/((1+'Global assumptions'!$D$8)^W6)</f>
        <v>0.50256588443167061</v>
      </c>
      <c r="X9" s="397">
        <f>1/((1+'Global assumptions'!$D$8)^X6)</f>
        <v>0.48557090283253213</v>
      </c>
      <c r="Y9" s="397">
        <f>1/((1+'Global assumptions'!$D$8)^Y6)</f>
        <v>0.46915063075606966</v>
      </c>
      <c r="Z9" s="397">
        <f>1/((1+'Global assumptions'!$D$8)^Z6)</f>
        <v>0.45328563358074364</v>
      </c>
      <c r="AA9" s="397">
        <f>1/((1+'Global assumptions'!$D$8)^AA6)</f>
        <v>0.43795713389443841</v>
      </c>
      <c r="AB9" s="397">
        <f>1/((1+'Global assumptions'!$D$8)^AB6)</f>
        <v>0.42314698926998884</v>
      </c>
      <c r="AC9" s="397">
        <f>1/((1+'Global assumptions'!$D$8)^AC6)</f>
        <v>0.40883767079225974</v>
      </c>
      <c r="AD9" s="397">
        <f>1/((1+'Global assumptions'!$D$8)^AD6)</f>
        <v>0.39501224231136206</v>
      </c>
      <c r="AE9" s="397">
        <f>1/((1+'Global assumptions'!$D$8)^AE6)</f>
        <v>0.38165434039745127</v>
      </c>
      <c r="AF9" s="397">
        <f>1/((1+'Global assumptions'!$D$8)^AF6)</f>
        <v>0.36874815497338298</v>
      </c>
      <c r="AG9" s="397">
        <f>1/((1+'Global assumptions'!$D$8)^AG6)</f>
        <v>0.35627841060230236</v>
      </c>
      <c r="AH9" s="397">
        <f>1/((1+'Global assumptions'!$D$8)^AH6)</f>
        <v>0.34423034840802164</v>
      </c>
      <c r="AI9" s="397">
        <f>1/((1+'Global assumptions'!$D$8)^AI6)</f>
        <v>0.33258970860678427</v>
      </c>
      <c r="AJ9" s="397">
        <f>1/((1+'Global assumptions'!$D$8)^AJ6)</f>
        <v>0.32134271362974326</v>
      </c>
      <c r="AK9" s="397">
        <f>1/((1+'Global assumptions'!$D$8)^AK6)</f>
        <v>0.3104760518161771</v>
      </c>
      <c r="AL9" s="397">
        <f>1/((1+'Global assumptions'!$D$8)^AL6)</f>
        <v>0.29997686165814214</v>
      </c>
      <c r="AM9" s="397">
        <f>1/((1+'Global assumptions'!$D$8)^AM6)</f>
        <v>0.28983271657791515</v>
      </c>
      <c r="AN9" s="397">
        <f>1/((1+'Global assumptions'!$D$8)^AN6)</f>
        <v>0.28003161022020789</v>
      </c>
      <c r="AO9" s="397">
        <f>1/((1+'Global assumptions'!$D$8)^AO6)</f>
        <v>0.27056194224174673</v>
      </c>
      <c r="AP9" s="397">
        <f>1/((1+'Global assumptions'!$D$8)^AP6)</f>
        <v>0.26141250458139786</v>
      </c>
      <c r="AQ9" s="397">
        <f>1/((1+'Global assumptions'!$D$8)^AQ6)</f>
        <v>0.25257246819458734</v>
      </c>
      <c r="AR9" s="397">
        <f>1/((1+'Global assumptions'!$D$8)^AR6)</f>
        <v>0.24403137023631633</v>
      </c>
      <c r="AS9" s="397">
        <f>1/((1+'Global assumptions'!$D$8)^AS6)</f>
        <v>0.2357791016776003</v>
      </c>
      <c r="AT9" s="397">
        <f>1/((1+'Global assumptions'!$D$8)^AT6)</f>
        <v>0.22780589534067661</v>
      </c>
      <c r="AU9" s="397">
        <f>1/((1+'Global assumptions'!$D$8)^AU6)</f>
        <v>0.22010231433881802</v>
      </c>
      <c r="AV9" s="397">
        <f>1/((1+'Global assumptions'!$D$8)^AV6)</f>
        <v>0.21265924090707056</v>
      </c>
      <c r="AW9" s="397">
        <f>1/((1+'Global assumptions'!$D$8)^AW6)</f>
        <v>0.20546786561069619</v>
      </c>
      <c r="AX9" s="397">
        <f>1/((1+'Global assumptions'!$D$8)^AX6)</f>
        <v>0.19851967691854708</v>
      </c>
      <c r="AY9" s="397">
        <f>1/((1+'Global assumptions'!$D$8)^AY6)</f>
        <v>0.19180645112903102</v>
      </c>
      <c r="AZ9" s="397">
        <f>1/((1+'Global assumptions'!$D$8)^AZ6)</f>
        <v>0.18532024263674499</v>
      </c>
      <c r="BA9" s="397">
        <f>1/((1+'Global assumptions'!$D$8)^BA6)</f>
        <v>0.17905337452825601</v>
      </c>
    </row>
    <row r="10" spans="1:54" s="71" customFormat="1" ht="14.4" x14ac:dyDescent="0.3">
      <c r="A10" s="345" t="s">
        <v>36</v>
      </c>
      <c r="B10" s="346"/>
      <c r="C10" s="347"/>
      <c r="D10" s="397">
        <f>1-('Global assumptions'!$D$14*'Cash Flow Model'!C6)</f>
        <v>1</v>
      </c>
      <c r="E10" s="397">
        <f>1-('Global assumptions'!$D$14*'Cash Flow Model'!D6)</f>
        <v>0.99299999999999999</v>
      </c>
      <c r="F10" s="397">
        <f>1-('Global assumptions'!$D$14*'Cash Flow Model'!E6)</f>
        <v>0.98599999999999999</v>
      </c>
      <c r="G10" s="397">
        <f>1-('Global assumptions'!$D$14*'Cash Flow Model'!F6)</f>
        <v>0.97899999999999998</v>
      </c>
      <c r="H10" s="397">
        <f>1-('Global assumptions'!$D$14*'Cash Flow Model'!G6)</f>
        <v>0.97199999999999998</v>
      </c>
      <c r="I10" s="397">
        <f>1-('Global assumptions'!$D$14*'Cash Flow Model'!H6)</f>
        <v>0.96499999999999997</v>
      </c>
      <c r="J10" s="397">
        <f>1-('Global assumptions'!$D$14*'Cash Flow Model'!I6)</f>
        <v>0.95799999999999996</v>
      </c>
      <c r="K10" s="397">
        <f>1-('Global assumptions'!$D$14*'Cash Flow Model'!J6)</f>
        <v>0.95099999999999996</v>
      </c>
      <c r="L10" s="397">
        <f>1-('Global assumptions'!$D$14*'Cash Flow Model'!K6)</f>
        <v>0.94399999999999995</v>
      </c>
      <c r="M10" s="397">
        <f>1-('Global assumptions'!$D$14*'Cash Flow Model'!L6)</f>
        <v>0.93700000000000006</v>
      </c>
      <c r="N10" s="397">
        <f>1-('Global assumptions'!$D$14*'Cash Flow Model'!M6)</f>
        <v>0.92999999999999994</v>
      </c>
      <c r="O10" s="397">
        <f>1-('Global assumptions'!$D$14*'Cash Flow Model'!N6)</f>
        <v>0.92300000000000004</v>
      </c>
      <c r="P10" s="397">
        <f>1-('Global assumptions'!$D$14*'Cash Flow Model'!O6)</f>
        <v>0.91600000000000004</v>
      </c>
      <c r="Q10" s="397">
        <f>1-('Global assumptions'!$D$14*'Cash Flow Model'!P6)</f>
        <v>0.90900000000000003</v>
      </c>
      <c r="R10" s="397">
        <f>1-('Global assumptions'!$D$14*'Cash Flow Model'!Q6)</f>
        <v>0.90200000000000002</v>
      </c>
      <c r="S10" s="397">
        <f>1-('Global assumptions'!$D$14*'Cash Flow Model'!R6)</f>
        <v>0.89500000000000002</v>
      </c>
      <c r="T10" s="397">
        <f>1-('Global assumptions'!$D$14*'Cash Flow Model'!S6)</f>
        <v>0.88800000000000001</v>
      </c>
      <c r="U10" s="397">
        <f>1-('Global assumptions'!$D$14*'Cash Flow Model'!T6)</f>
        <v>0.88100000000000001</v>
      </c>
      <c r="V10" s="397">
        <f>1-('Global assumptions'!$D$14*'Cash Flow Model'!U6)</f>
        <v>0.874</v>
      </c>
      <c r="W10" s="397">
        <f>1-('Global assumptions'!$D$14*'Cash Flow Model'!V6)</f>
        <v>0.86699999999999999</v>
      </c>
      <c r="X10" s="397">
        <f>1-('Global assumptions'!$D$14*'Cash Flow Model'!W6)</f>
        <v>0.86</v>
      </c>
      <c r="Y10" s="397">
        <f>1-('Global assumptions'!$D$14*'Cash Flow Model'!X6)</f>
        <v>0.85299999999999998</v>
      </c>
      <c r="Z10" s="397">
        <f>1-('Global assumptions'!$D$14*'Cash Flow Model'!Y6)</f>
        <v>0.84599999999999997</v>
      </c>
      <c r="AA10" s="397">
        <f>1-('Global assumptions'!$D$14*'Cash Flow Model'!Z6)</f>
        <v>0.83899999999999997</v>
      </c>
      <c r="AB10" s="397">
        <f>1-('Global assumptions'!$D$14*'Cash Flow Model'!AA6)</f>
        <v>0.83199999999999996</v>
      </c>
      <c r="AC10" s="397">
        <f>1-('Global assumptions'!$D$14*'Cash Flow Model'!AB6)</f>
        <v>0.82499999999999996</v>
      </c>
      <c r="AD10" s="397">
        <f>1-('Global assumptions'!$D$14*'Cash Flow Model'!AC6)</f>
        <v>0.81800000000000006</v>
      </c>
      <c r="AE10" s="397">
        <f>1-('Global assumptions'!$D$14*'Cash Flow Model'!AD6)</f>
        <v>0.81099999999999994</v>
      </c>
      <c r="AF10" s="397">
        <f>1-('Global assumptions'!$D$14*'Cash Flow Model'!AE6)</f>
        <v>0.80400000000000005</v>
      </c>
      <c r="AG10" s="397">
        <f>1-('Global assumptions'!$D$14*'Cash Flow Model'!AF6)</f>
        <v>0.79699999999999993</v>
      </c>
      <c r="AH10" s="397">
        <f>1-('Global assumptions'!$D$14*'Cash Flow Model'!AG6)</f>
        <v>0.79</v>
      </c>
      <c r="AI10" s="397">
        <f>1-('Global assumptions'!$D$14*'Cash Flow Model'!AH6)</f>
        <v>0.78300000000000003</v>
      </c>
      <c r="AJ10" s="397">
        <f>1-('Global assumptions'!$D$14*'Cash Flow Model'!AI6)</f>
        <v>0.77600000000000002</v>
      </c>
      <c r="AK10" s="397">
        <f>1-('Global assumptions'!$D$14*'Cash Flow Model'!AJ6)</f>
        <v>0.76900000000000002</v>
      </c>
      <c r="AL10" s="397">
        <f>1-('Global assumptions'!$D$14*'Cash Flow Model'!AK6)</f>
        <v>0.76200000000000001</v>
      </c>
      <c r="AM10" s="397">
        <f>1-('Global assumptions'!$D$14*'Cash Flow Model'!AL6)</f>
        <v>0.755</v>
      </c>
      <c r="AN10" s="397">
        <f>1-('Global assumptions'!$D$14*'Cash Flow Model'!AM6)</f>
        <v>0.748</v>
      </c>
      <c r="AO10" s="397">
        <f>1-('Global assumptions'!$D$14*'Cash Flow Model'!AN6)</f>
        <v>0.74099999999999999</v>
      </c>
      <c r="AP10" s="397">
        <f>1-('Global assumptions'!$D$14*'Cash Flow Model'!AO6)</f>
        <v>0.73399999999999999</v>
      </c>
      <c r="AQ10" s="397">
        <f>1-('Global assumptions'!$D$14*'Cash Flow Model'!AP6)</f>
        <v>0.72699999999999998</v>
      </c>
      <c r="AR10" s="397">
        <f>1-('Global assumptions'!$D$14*'Cash Flow Model'!AQ6)</f>
        <v>0.72</v>
      </c>
      <c r="AS10" s="397">
        <f>1-('Global assumptions'!$D$14*'Cash Flow Model'!AR6)</f>
        <v>0.71299999999999997</v>
      </c>
      <c r="AT10" s="397">
        <f>1-('Global assumptions'!$D$14*'Cash Flow Model'!AS6)</f>
        <v>0.70599999999999996</v>
      </c>
      <c r="AU10" s="397">
        <f>1-('Global assumptions'!$D$14*'Cash Flow Model'!AT6)</f>
        <v>0.69900000000000007</v>
      </c>
      <c r="AV10" s="397">
        <f>1-('Global assumptions'!$D$14*'Cash Flow Model'!AU6)</f>
        <v>0.69199999999999995</v>
      </c>
      <c r="AW10" s="397">
        <f>1-('Global assumptions'!$D$14*'Cash Flow Model'!AV6)</f>
        <v>0.68500000000000005</v>
      </c>
      <c r="AX10" s="397">
        <f>1-('Global assumptions'!$D$14*'Cash Flow Model'!AW6)</f>
        <v>0.67799999999999994</v>
      </c>
      <c r="AY10" s="397">
        <f>1-('Global assumptions'!$D$14*'Cash Flow Model'!AX6)</f>
        <v>0.67100000000000004</v>
      </c>
      <c r="AZ10" s="397">
        <f>1-('Global assumptions'!$D$14*'Cash Flow Model'!AY6)</f>
        <v>0.66399999999999992</v>
      </c>
      <c r="BA10" s="397">
        <f>1-('Global assumptions'!$D$14*'Cash Flow Model'!AZ6)</f>
        <v>0.65700000000000003</v>
      </c>
    </row>
    <row r="11" spans="1:54" x14ac:dyDescent="0.25">
      <c r="A11" s="334"/>
      <c r="B11" s="335"/>
      <c r="C11" s="336"/>
      <c r="D11" s="336"/>
      <c r="E11" s="189"/>
      <c r="F11" s="189"/>
      <c r="G11" s="189"/>
      <c r="H11" s="189"/>
      <c r="I11" s="189"/>
      <c r="J11" s="189"/>
      <c r="K11" s="189"/>
      <c r="L11" s="189"/>
      <c r="M11" s="189"/>
      <c r="N11" s="189"/>
      <c r="O11" s="189"/>
      <c r="P11" s="189"/>
      <c r="Q11" s="189"/>
      <c r="R11" s="189"/>
      <c r="S11" s="189"/>
      <c r="T11" s="189"/>
      <c r="U11" s="189"/>
      <c r="V11" s="189"/>
      <c r="W11" s="189"/>
      <c r="X11" s="189"/>
      <c r="Y11" s="189"/>
      <c r="Z11" s="189"/>
      <c r="AA11" s="189"/>
      <c r="AB11" s="189"/>
      <c r="AC11" s="189"/>
      <c r="AD11" s="189"/>
      <c r="AE11" s="189"/>
      <c r="AF11" s="189"/>
      <c r="AG11" s="189"/>
      <c r="AH11" s="189"/>
      <c r="AI11" s="189"/>
      <c r="AJ11" s="189"/>
      <c r="AK11" s="189"/>
      <c r="AL11" s="189"/>
      <c r="AM11" s="189"/>
      <c r="AN11" s="189"/>
      <c r="AO11" s="189"/>
      <c r="AP11" s="189"/>
      <c r="AQ11" s="189"/>
      <c r="AR11" s="189"/>
      <c r="AS11" s="189"/>
      <c r="AT11" s="189"/>
      <c r="AU11" s="189"/>
      <c r="AV11" s="189"/>
      <c r="AW11" s="189"/>
      <c r="AX11" s="189"/>
      <c r="AY11" s="189"/>
      <c r="AZ11" s="189"/>
      <c r="BA11" s="189"/>
    </row>
    <row r="12" spans="1:54" x14ac:dyDescent="0.25">
      <c r="A12" s="348" t="s">
        <v>228</v>
      </c>
      <c r="B12" s="335"/>
      <c r="C12" s="336"/>
      <c r="D12" s="336"/>
      <c r="E12" s="189"/>
      <c r="F12" s="189"/>
      <c r="G12" s="189"/>
      <c r="H12" s="189"/>
      <c r="I12" s="189"/>
      <c r="J12" s="189"/>
      <c r="K12" s="189"/>
      <c r="L12" s="189"/>
      <c r="M12" s="189"/>
      <c r="N12" s="189"/>
      <c r="O12" s="189"/>
      <c r="P12" s="189"/>
      <c r="Q12" s="189"/>
      <c r="R12" s="189"/>
      <c r="S12" s="189"/>
      <c r="T12" s="189"/>
      <c r="U12" s="189"/>
      <c r="V12" s="189"/>
      <c r="W12" s="189"/>
      <c r="X12" s="189"/>
      <c r="Y12" s="189"/>
      <c r="Z12" s="189"/>
      <c r="AA12" s="189"/>
      <c r="AB12" s="189"/>
      <c r="AC12" s="189"/>
      <c r="AD12" s="189"/>
      <c r="AE12" s="189"/>
      <c r="AF12" s="189"/>
      <c r="AG12" s="189"/>
      <c r="AH12" s="189"/>
      <c r="AI12" s="189"/>
      <c r="AJ12" s="189"/>
      <c r="AK12" s="189"/>
      <c r="AL12" s="189"/>
      <c r="AM12" s="189"/>
      <c r="AN12" s="189"/>
      <c r="AO12" s="189"/>
      <c r="AP12" s="189"/>
      <c r="AQ12" s="189"/>
      <c r="AR12" s="189"/>
      <c r="AS12" s="189"/>
      <c r="AT12" s="189"/>
      <c r="AU12" s="189"/>
      <c r="AV12" s="189"/>
      <c r="AW12" s="189"/>
      <c r="AX12" s="189"/>
      <c r="AY12" s="189"/>
      <c r="AZ12" s="189"/>
      <c r="BA12" s="189"/>
    </row>
    <row r="13" spans="1:54" s="73" customFormat="1" x14ac:dyDescent="0.25">
      <c r="A13" s="349" t="s">
        <v>229</v>
      </c>
      <c r="B13" s="401">
        <f>SUM(C13:XFD13)</f>
        <v>0</v>
      </c>
      <c r="C13" s="350"/>
      <c r="D13" s="398">
        <f>IF(D$6&gt;'Global assumptions'!$D$7,0,'Energy generation (by site)'!$C28*D$10)</f>
        <v>0</v>
      </c>
      <c r="E13" s="398">
        <f>IF(E$6&gt;'Global assumptions'!$D$7,0,'Energy generation (by site)'!$C28*E$10)</f>
        <v>0</v>
      </c>
      <c r="F13" s="398">
        <f>IF(F$6&gt;'Global assumptions'!$D$7,0,'Energy generation (by site)'!$C28*F$10)</f>
        <v>0</v>
      </c>
      <c r="G13" s="398">
        <f>IF(G$6&gt;'Global assumptions'!$D$7,0,'Energy generation (by site)'!$C28*G$10)</f>
        <v>0</v>
      </c>
      <c r="H13" s="398">
        <f>IF(H$6&gt;'Global assumptions'!$D$7,0,'Energy generation (by site)'!$C28*H$10)</f>
        <v>0</v>
      </c>
      <c r="I13" s="398">
        <f>IF(I$6&gt;'Global assumptions'!$D$7,0,'Energy generation (by site)'!$C28*I$10)</f>
        <v>0</v>
      </c>
      <c r="J13" s="398">
        <f>IF(J$6&gt;'Global assumptions'!$D$7,0,'Energy generation (by site)'!$C28*J$10)</f>
        <v>0</v>
      </c>
      <c r="K13" s="398">
        <f>IF(K$6&gt;'Global assumptions'!$D$7,0,'Energy generation (by site)'!$C28*K$10)</f>
        <v>0</v>
      </c>
      <c r="L13" s="398">
        <f>IF(L$6&gt;'Global assumptions'!$D$7,0,'Energy generation (by site)'!$C28*L$10)</f>
        <v>0</v>
      </c>
      <c r="M13" s="398">
        <f>IF(M$6&gt;'Global assumptions'!$D$7,0,'Energy generation (by site)'!$C28*M$10)</f>
        <v>0</v>
      </c>
      <c r="N13" s="398">
        <f>IF(N$6&gt;'Global assumptions'!$D$7,0,'Energy generation (by site)'!$C28*N$10)</f>
        <v>0</v>
      </c>
      <c r="O13" s="398">
        <f>IF(O$6&gt;'Global assumptions'!$D$7,0,'Energy generation (by site)'!$C28*O$10)</f>
        <v>0</v>
      </c>
      <c r="P13" s="398">
        <f>IF(P$6&gt;'Global assumptions'!$D$7,0,'Energy generation (by site)'!$C28*P$10)</f>
        <v>0</v>
      </c>
      <c r="Q13" s="398">
        <f>IF(Q$6&gt;'Global assumptions'!$D$7,0,'Energy generation (by site)'!$C28*Q$10)</f>
        <v>0</v>
      </c>
      <c r="R13" s="398">
        <f>IF(R$6&gt;'Global assumptions'!$D$7,0,'Energy generation (by site)'!$C28*R$10)</f>
        <v>0</v>
      </c>
      <c r="S13" s="398">
        <f>IF(S$6&gt;'Global assumptions'!$D$7,0,'Energy generation (by site)'!$C28*S$10)</f>
        <v>0</v>
      </c>
      <c r="T13" s="398">
        <f>IF(T$6&gt;'Global assumptions'!$D$7,0,'Energy generation (by site)'!$C28*T$10)</f>
        <v>0</v>
      </c>
      <c r="U13" s="398">
        <f>IF(U$6&gt;'Global assumptions'!$D$7,0,'Energy generation (by site)'!$C28*U$10)</f>
        <v>0</v>
      </c>
      <c r="V13" s="398">
        <f>IF(V$6&gt;'Global assumptions'!$D$7,0,'Energy generation (by site)'!$C28*V$10)</f>
        <v>0</v>
      </c>
      <c r="W13" s="398">
        <f>IF(W$6&gt;'Global assumptions'!$D$7,0,'Energy generation (by site)'!$C28*W$10)</f>
        <v>0</v>
      </c>
      <c r="X13" s="398">
        <f>IF(X$6&gt;'Global assumptions'!$D$7,0,'Energy generation (by site)'!$C28*X$10)</f>
        <v>0</v>
      </c>
      <c r="Y13" s="398">
        <f>IF(Y$6&gt;'Global assumptions'!$D$7,0,'Energy generation (by site)'!$C28*Y$10)</f>
        <v>0</v>
      </c>
      <c r="Z13" s="398">
        <f>IF(Z$6&gt;'Global assumptions'!$D$7,0,'Energy generation (by site)'!$C28*Z$10)</f>
        <v>0</v>
      </c>
      <c r="AA13" s="398">
        <f>IF(AA$6&gt;'Global assumptions'!$D$7,0,'Energy generation (by site)'!$C28*AA$10)</f>
        <v>0</v>
      </c>
      <c r="AB13" s="398">
        <f>IF(AB$6&gt;'Global assumptions'!$D$7,0,'Energy generation (by site)'!$C28*AB$10)</f>
        <v>0</v>
      </c>
      <c r="AC13" s="398">
        <f>IF(AC$6&gt;'Global assumptions'!$D$7,0,'Energy generation (by site)'!$C28*AC$10)</f>
        <v>0</v>
      </c>
      <c r="AD13" s="398">
        <f>IF(AD$6&gt;'Global assumptions'!$D$7,0,'Energy generation (by site)'!$C28*AD$10)</f>
        <v>0</v>
      </c>
      <c r="AE13" s="398">
        <f>IF(AE$6&gt;'Global assumptions'!$D$7,0,'Energy generation (by site)'!$C28*AE$10)</f>
        <v>0</v>
      </c>
      <c r="AF13" s="398">
        <f>IF(AF$6&gt;'Global assumptions'!$D$7,0,'Energy generation (by site)'!$C28*AF$10)</f>
        <v>0</v>
      </c>
      <c r="AG13" s="398">
        <f>IF(AG$6&gt;'Global assumptions'!$D$7,0,'Energy generation (by site)'!$C28*AG$10)</f>
        <v>0</v>
      </c>
      <c r="AH13" s="398">
        <f>IF(AH$6&gt;'Global assumptions'!$D$7,0,'Energy generation (by site)'!$C28*AH$10)</f>
        <v>0</v>
      </c>
      <c r="AI13" s="398">
        <f>IF(AI$6&gt;'Global assumptions'!$D$7,0,'Energy generation (by site)'!$C28*AI$10)</f>
        <v>0</v>
      </c>
      <c r="AJ13" s="398">
        <f>IF(AJ$6&gt;'Global assumptions'!$D$7,0,'Energy generation (by site)'!$C28*AJ$10)</f>
        <v>0</v>
      </c>
      <c r="AK13" s="398">
        <f>IF(AK$6&gt;'Global assumptions'!$D$7,0,'Energy generation (by site)'!$C28*AK$10)</f>
        <v>0</v>
      </c>
      <c r="AL13" s="398">
        <f>IF(AL$6&gt;'Global assumptions'!$D$7,0,'Energy generation (by site)'!$C28*AL$10)</f>
        <v>0</v>
      </c>
      <c r="AM13" s="398">
        <f>IF(AM$6&gt;'Global assumptions'!$D$7,0,'Energy generation (by site)'!$C28*AM$10)</f>
        <v>0</v>
      </c>
      <c r="AN13" s="398">
        <f>IF(AN$6&gt;'Global assumptions'!$D$7,0,'Energy generation (by site)'!$C28*AN$10)</f>
        <v>0</v>
      </c>
      <c r="AO13" s="398">
        <f>IF(AO$6&gt;'Global assumptions'!$D$7,0,'Energy generation (by site)'!$C28*AO$10)</f>
        <v>0</v>
      </c>
      <c r="AP13" s="398">
        <f>IF(AP$6&gt;'Global assumptions'!$D$7,0,'Energy generation (by site)'!$C28*AP$10)</f>
        <v>0</v>
      </c>
      <c r="AQ13" s="398">
        <f>IF(AQ$6&gt;'Global assumptions'!$D$7,0,'Energy generation (by site)'!$C28*AQ$10)</f>
        <v>0</v>
      </c>
      <c r="AR13" s="398">
        <f>IF(AR$6&gt;'Global assumptions'!$D$7,0,'Energy generation (by site)'!$C28*AR$10)</f>
        <v>0</v>
      </c>
      <c r="AS13" s="398">
        <f>IF(AS$6&gt;'Global assumptions'!$D$7,0,'Energy generation (by site)'!$C28*AS$10)</f>
        <v>0</v>
      </c>
      <c r="AT13" s="398">
        <f>IF(AT$6&gt;'Global assumptions'!$D$7,0,'Energy generation (by site)'!$C28*AT$10)</f>
        <v>0</v>
      </c>
      <c r="AU13" s="398">
        <f>IF(AU$6&gt;'Global assumptions'!$D$7,0,'Energy generation (by site)'!$C28*AU$10)</f>
        <v>0</v>
      </c>
      <c r="AV13" s="398">
        <f>IF(AV$6&gt;'Global assumptions'!$D$7,0,'Energy generation (by site)'!$C28*AV$10)</f>
        <v>0</v>
      </c>
      <c r="AW13" s="398">
        <f>IF(AW$6&gt;'Global assumptions'!$D$7,0,'Energy generation (by site)'!$C28*AW$10)</f>
        <v>0</v>
      </c>
      <c r="AX13" s="398">
        <f>IF(AX$6&gt;'Global assumptions'!$D$7,0,'Energy generation (by site)'!$C28*AX$10)</f>
        <v>0</v>
      </c>
      <c r="AY13" s="398">
        <f>IF(AY$6&gt;'Global assumptions'!$D$7,0,'Energy generation (by site)'!$C28*AY$10)</f>
        <v>0</v>
      </c>
      <c r="AZ13" s="398">
        <f>IF(AZ$6&gt;'Global assumptions'!$D$7,0,'Energy generation (by site)'!$C28*AZ$10)</f>
        <v>0</v>
      </c>
      <c r="BA13" s="398">
        <f>IF(BA$6&gt;'Global assumptions'!$D$7,0,'Energy generation (by site)'!$C28*BA$10)</f>
        <v>0</v>
      </c>
      <c r="BB13" s="124"/>
    </row>
    <row r="14" spans="1:54" s="9" customFormat="1" x14ac:dyDescent="0.25">
      <c r="A14" s="351" t="s">
        <v>230</v>
      </c>
      <c r="B14" s="402">
        <f>SUM(C14:XFD14)</f>
        <v>0</v>
      </c>
      <c r="C14" s="352"/>
      <c r="D14" s="399">
        <f>IF(D$6&gt;'Global assumptions'!$D$7,0,'Energy generation (by site)'!$C29*D$10)</f>
        <v>0</v>
      </c>
      <c r="E14" s="399">
        <f>IF(E$6&gt;'Global assumptions'!$D$7,0,'Energy generation (by site)'!$C29*E$10)</f>
        <v>0</v>
      </c>
      <c r="F14" s="399">
        <f>IF(F$6&gt;'Global assumptions'!$D$7,0,'Energy generation (by site)'!$C29*F$10)</f>
        <v>0</v>
      </c>
      <c r="G14" s="399">
        <f>IF(G$6&gt;'Global assumptions'!$D$7,0,'Energy generation (by site)'!$C29*G$10)</f>
        <v>0</v>
      </c>
      <c r="H14" s="399">
        <f>IF(H$6&gt;'Global assumptions'!$D$7,0,'Energy generation (by site)'!$C29*H$10)</f>
        <v>0</v>
      </c>
      <c r="I14" s="399">
        <f>IF(I$6&gt;'Global assumptions'!$D$7,0,'Energy generation (by site)'!$C29*I$10)</f>
        <v>0</v>
      </c>
      <c r="J14" s="399">
        <f>IF(J$6&gt;'Global assumptions'!$D$7,0,'Energy generation (by site)'!$C29*J$10)</f>
        <v>0</v>
      </c>
      <c r="K14" s="399">
        <f>IF(K$6&gt;'Global assumptions'!$D$7,0,'Energy generation (by site)'!$C29*K$10)</f>
        <v>0</v>
      </c>
      <c r="L14" s="399">
        <f>IF(L$6&gt;'Global assumptions'!$D$7,0,'Energy generation (by site)'!$C29*L$10)</f>
        <v>0</v>
      </c>
      <c r="M14" s="399">
        <f>IF(M$6&gt;'Global assumptions'!$D$7,0,'Energy generation (by site)'!$C29*M$10)</f>
        <v>0</v>
      </c>
      <c r="N14" s="399">
        <f>IF(N$6&gt;'Global assumptions'!$D$7,0,'Energy generation (by site)'!$C29*N$10)</f>
        <v>0</v>
      </c>
      <c r="O14" s="399">
        <f>IF(O$6&gt;'Global assumptions'!$D$7,0,'Energy generation (by site)'!$C29*O$10)</f>
        <v>0</v>
      </c>
      <c r="P14" s="399">
        <f>IF(P$6&gt;'Global assumptions'!$D$7,0,'Energy generation (by site)'!$C29*P$10)</f>
        <v>0</v>
      </c>
      <c r="Q14" s="399">
        <f>IF(Q$6&gt;'Global assumptions'!$D$7,0,'Energy generation (by site)'!$C29*Q$10)</f>
        <v>0</v>
      </c>
      <c r="R14" s="399">
        <f>IF(R$6&gt;'Global assumptions'!$D$7,0,'Energy generation (by site)'!$C29*R$10)</f>
        <v>0</v>
      </c>
      <c r="S14" s="399">
        <f>IF(S$6&gt;'Global assumptions'!$D$7,0,'Energy generation (by site)'!$C29*S$10)</f>
        <v>0</v>
      </c>
      <c r="T14" s="399">
        <f>IF(T$6&gt;'Global assumptions'!$D$7,0,'Energy generation (by site)'!$C29*T$10)</f>
        <v>0</v>
      </c>
      <c r="U14" s="399">
        <f>IF(U$6&gt;'Global assumptions'!$D$7,0,'Energy generation (by site)'!$C29*U$10)</f>
        <v>0</v>
      </c>
      <c r="V14" s="399">
        <f>IF(V$6&gt;'Global assumptions'!$D$7,0,'Energy generation (by site)'!$C29*V$10)</f>
        <v>0</v>
      </c>
      <c r="W14" s="399">
        <f>IF(W$6&gt;'Global assumptions'!$D$7,0,'Energy generation (by site)'!$C29*W$10)</f>
        <v>0</v>
      </c>
      <c r="X14" s="399">
        <f>IF(X$6&gt;'Global assumptions'!$D$7,0,'Energy generation (by site)'!$C29*X$10)</f>
        <v>0</v>
      </c>
      <c r="Y14" s="399">
        <f>IF(Y$6&gt;'Global assumptions'!$D$7,0,'Energy generation (by site)'!$C29*Y$10)</f>
        <v>0</v>
      </c>
      <c r="Z14" s="399">
        <f>IF(Z$6&gt;'Global assumptions'!$D$7,0,'Energy generation (by site)'!$C29*Z$10)</f>
        <v>0</v>
      </c>
      <c r="AA14" s="399">
        <f>IF(AA$6&gt;'Global assumptions'!$D$7,0,'Energy generation (by site)'!$C29*AA$10)</f>
        <v>0</v>
      </c>
      <c r="AB14" s="399">
        <f>IF(AB$6&gt;'Global assumptions'!$D$7,0,'Energy generation (by site)'!$C29*AB$10)</f>
        <v>0</v>
      </c>
      <c r="AC14" s="399">
        <f>IF(AC$6&gt;'Global assumptions'!$D$7,0,'Energy generation (by site)'!$C29*AC$10)</f>
        <v>0</v>
      </c>
      <c r="AD14" s="399">
        <f>IF(AD$6&gt;'Global assumptions'!$D$7,0,'Energy generation (by site)'!$C29*AD$10)</f>
        <v>0</v>
      </c>
      <c r="AE14" s="399">
        <f>IF(AE$6&gt;'Global assumptions'!$D$7,0,'Energy generation (by site)'!$C29*AE$10)</f>
        <v>0</v>
      </c>
      <c r="AF14" s="399">
        <f>IF(AF$6&gt;'Global assumptions'!$D$7,0,'Energy generation (by site)'!$C29*AF$10)</f>
        <v>0</v>
      </c>
      <c r="AG14" s="399">
        <f>IF(AG$6&gt;'Global assumptions'!$D$7,0,'Energy generation (by site)'!$C29*AG$10)</f>
        <v>0</v>
      </c>
      <c r="AH14" s="399">
        <f>IF(AH$6&gt;'Global assumptions'!$D$7,0,'Energy generation (by site)'!$C29*AH$10)</f>
        <v>0</v>
      </c>
      <c r="AI14" s="399">
        <f>IF(AI$6&gt;'Global assumptions'!$D$7,0,'Energy generation (by site)'!$C29*AI$10)</f>
        <v>0</v>
      </c>
      <c r="AJ14" s="399">
        <f>IF(AJ$6&gt;'Global assumptions'!$D$7,0,'Energy generation (by site)'!$C29*AJ$10)</f>
        <v>0</v>
      </c>
      <c r="AK14" s="399">
        <f>IF(AK$6&gt;'Global assumptions'!$D$7,0,'Energy generation (by site)'!$C29*AK$10)</f>
        <v>0</v>
      </c>
      <c r="AL14" s="399">
        <f>IF(AL$6&gt;'Global assumptions'!$D$7,0,'Energy generation (by site)'!$C29*AL$10)</f>
        <v>0</v>
      </c>
      <c r="AM14" s="399">
        <f>IF(AM$6&gt;'Global assumptions'!$D$7,0,'Energy generation (by site)'!$C29*AM$10)</f>
        <v>0</v>
      </c>
      <c r="AN14" s="399">
        <f>IF(AN$6&gt;'Global assumptions'!$D$7,0,'Energy generation (by site)'!$C29*AN$10)</f>
        <v>0</v>
      </c>
      <c r="AO14" s="399">
        <f>IF(AO$6&gt;'Global assumptions'!$D$7,0,'Energy generation (by site)'!$C29*AO$10)</f>
        <v>0</v>
      </c>
      <c r="AP14" s="399">
        <f>IF(AP$6&gt;'Global assumptions'!$D$7,0,'Energy generation (by site)'!$C29*AP$10)</f>
        <v>0</v>
      </c>
      <c r="AQ14" s="399">
        <f>IF(AQ$6&gt;'Global assumptions'!$D$7,0,'Energy generation (by site)'!$C29*AQ$10)</f>
        <v>0</v>
      </c>
      <c r="AR14" s="399">
        <f>IF(AR$6&gt;'Global assumptions'!$D$7,0,'Energy generation (by site)'!$C29*AR$10)</f>
        <v>0</v>
      </c>
      <c r="AS14" s="399">
        <f>IF(AS$6&gt;'Global assumptions'!$D$7,0,'Energy generation (by site)'!$C29*AS$10)</f>
        <v>0</v>
      </c>
      <c r="AT14" s="399">
        <f>IF(AT$6&gt;'Global assumptions'!$D$7,0,'Energy generation (by site)'!$C29*AT$10)</f>
        <v>0</v>
      </c>
      <c r="AU14" s="399">
        <f>IF(AU$6&gt;'Global assumptions'!$D$7,0,'Energy generation (by site)'!$C29*AU$10)</f>
        <v>0</v>
      </c>
      <c r="AV14" s="399">
        <f>IF(AV$6&gt;'Global assumptions'!$D$7,0,'Energy generation (by site)'!$C29*AV$10)</f>
        <v>0</v>
      </c>
      <c r="AW14" s="399">
        <f>IF(AW$6&gt;'Global assumptions'!$D$7,0,'Energy generation (by site)'!$C29*AW$10)</f>
        <v>0</v>
      </c>
      <c r="AX14" s="399">
        <f>IF(AX$6&gt;'Global assumptions'!$D$7,0,'Energy generation (by site)'!$C29*AX$10)</f>
        <v>0</v>
      </c>
      <c r="AY14" s="399">
        <f>IF(AY$6&gt;'Global assumptions'!$D$7,0,'Energy generation (by site)'!$C29*AY$10)</f>
        <v>0</v>
      </c>
      <c r="AZ14" s="399">
        <f>IF(AZ$6&gt;'Global assumptions'!$D$7,0,'Energy generation (by site)'!$C29*AZ$10)</f>
        <v>0</v>
      </c>
      <c r="BA14" s="399">
        <f>IF(BA$6&gt;'Global assumptions'!$D$7,0,'Energy generation (by site)'!$C29*BA$10)</f>
        <v>0</v>
      </c>
      <c r="BB14" s="125"/>
    </row>
    <row r="15" spans="1:54" s="74" customFormat="1" x14ac:dyDescent="0.25">
      <c r="A15" s="353" t="s">
        <v>231</v>
      </c>
      <c r="B15" s="403">
        <f>SUM(C15:XFD15)</f>
        <v>0</v>
      </c>
      <c r="C15" s="354"/>
      <c r="D15" s="400">
        <f>IF(D$6&gt;'Global assumptions'!$D$7,0,'Energy generation (by site)'!$C30*D$10)</f>
        <v>0</v>
      </c>
      <c r="E15" s="400">
        <f>IF(E$6&gt;'Global assumptions'!$D$7,0,'Energy generation (by site)'!$C30*E$10)</f>
        <v>0</v>
      </c>
      <c r="F15" s="400">
        <f>IF(F$6&gt;'Global assumptions'!$D$7,0,'Energy generation (by site)'!$C30*F$10)</f>
        <v>0</v>
      </c>
      <c r="G15" s="400">
        <f>IF(G$6&gt;'Global assumptions'!$D$7,0,'Energy generation (by site)'!$C30*G$10)</f>
        <v>0</v>
      </c>
      <c r="H15" s="400">
        <f>IF(H$6&gt;'Global assumptions'!$D$7,0,'Energy generation (by site)'!$C30*H$10)</f>
        <v>0</v>
      </c>
      <c r="I15" s="400">
        <f>IF(I$6&gt;'Global assumptions'!$D$7,0,'Energy generation (by site)'!$C30*I$10)</f>
        <v>0</v>
      </c>
      <c r="J15" s="400">
        <f>IF(J$6&gt;'Global assumptions'!$D$7,0,'Energy generation (by site)'!$C30*J$10)</f>
        <v>0</v>
      </c>
      <c r="K15" s="400">
        <f>IF(K$6&gt;'Global assumptions'!$D$7,0,'Energy generation (by site)'!$C30*K$10)</f>
        <v>0</v>
      </c>
      <c r="L15" s="400">
        <f>IF(L$6&gt;'Global assumptions'!$D$7,0,'Energy generation (by site)'!$C30*L$10)</f>
        <v>0</v>
      </c>
      <c r="M15" s="400">
        <f>IF(M$6&gt;'Global assumptions'!$D$7,0,'Energy generation (by site)'!$C30*M$10)</f>
        <v>0</v>
      </c>
      <c r="N15" s="400">
        <f>IF(N$6&gt;'Global assumptions'!$D$7,0,'Energy generation (by site)'!$C30*N$10)</f>
        <v>0</v>
      </c>
      <c r="O15" s="400">
        <f>IF(O$6&gt;'Global assumptions'!$D$7,0,'Energy generation (by site)'!$C30*O$10)</f>
        <v>0</v>
      </c>
      <c r="P15" s="400">
        <f>IF(P$6&gt;'Global assumptions'!$D$7,0,'Energy generation (by site)'!$C30*P$10)</f>
        <v>0</v>
      </c>
      <c r="Q15" s="400">
        <f>IF(Q$6&gt;'Global assumptions'!$D$7,0,'Energy generation (by site)'!$C30*Q$10)</f>
        <v>0</v>
      </c>
      <c r="R15" s="400">
        <f>IF(R$6&gt;'Global assumptions'!$D$7,0,'Energy generation (by site)'!$C30*R$10)</f>
        <v>0</v>
      </c>
      <c r="S15" s="400">
        <f>IF(S$6&gt;'Global assumptions'!$D$7,0,'Energy generation (by site)'!$C30*S$10)</f>
        <v>0</v>
      </c>
      <c r="T15" s="400">
        <f>IF(T$6&gt;'Global assumptions'!$D$7,0,'Energy generation (by site)'!$C30*T$10)</f>
        <v>0</v>
      </c>
      <c r="U15" s="400">
        <f>IF(U$6&gt;'Global assumptions'!$D$7,0,'Energy generation (by site)'!$C30*U$10)</f>
        <v>0</v>
      </c>
      <c r="V15" s="400">
        <f>IF(V$6&gt;'Global assumptions'!$D$7,0,'Energy generation (by site)'!$C30*V$10)</f>
        <v>0</v>
      </c>
      <c r="W15" s="400">
        <f>IF(W$6&gt;'Global assumptions'!$D$7,0,'Energy generation (by site)'!$C30*W$10)</f>
        <v>0</v>
      </c>
      <c r="X15" s="400">
        <f>IF(X$6&gt;'Global assumptions'!$D$7,0,'Energy generation (by site)'!$C30*X$10)</f>
        <v>0</v>
      </c>
      <c r="Y15" s="400">
        <f>IF(Y$6&gt;'Global assumptions'!$D$7,0,'Energy generation (by site)'!$C30*Y$10)</f>
        <v>0</v>
      </c>
      <c r="Z15" s="400">
        <f>IF(Z$6&gt;'Global assumptions'!$D$7,0,'Energy generation (by site)'!$C30*Z$10)</f>
        <v>0</v>
      </c>
      <c r="AA15" s="400">
        <f>IF(AA$6&gt;'Global assumptions'!$D$7,0,'Energy generation (by site)'!$C30*AA$10)</f>
        <v>0</v>
      </c>
      <c r="AB15" s="400">
        <f>IF(AB$6&gt;'Global assumptions'!$D$7,0,'Energy generation (by site)'!$C30*AB$10)</f>
        <v>0</v>
      </c>
      <c r="AC15" s="400">
        <f>IF(AC$6&gt;'Global assumptions'!$D$7,0,'Energy generation (by site)'!$C30*AC$10)</f>
        <v>0</v>
      </c>
      <c r="AD15" s="400">
        <f>IF(AD$6&gt;'Global assumptions'!$D$7,0,'Energy generation (by site)'!$C30*AD$10)</f>
        <v>0</v>
      </c>
      <c r="AE15" s="400">
        <f>IF(AE$6&gt;'Global assumptions'!$D$7,0,'Energy generation (by site)'!$C30*AE$10)</f>
        <v>0</v>
      </c>
      <c r="AF15" s="400">
        <f>IF(AF$6&gt;'Global assumptions'!$D$7,0,'Energy generation (by site)'!$C30*AF$10)</f>
        <v>0</v>
      </c>
      <c r="AG15" s="400">
        <f>IF(AG$6&gt;'Global assumptions'!$D$7,0,'Energy generation (by site)'!$C30*AG$10)</f>
        <v>0</v>
      </c>
      <c r="AH15" s="400">
        <f>IF(AH$6&gt;'Global assumptions'!$D$7,0,'Energy generation (by site)'!$C30*AH$10)</f>
        <v>0</v>
      </c>
      <c r="AI15" s="400">
        <f>IF(AI$6&gt;'Global assumptions'!$D$7,0,'Energy generation (by site)'!$C30*AI$10)</f>
        <v>0</v>
      </c>
      <c r="AJ15" s="400">
        <f>IF(AJ$6&gt;'Global assumptions'!$D$7,0,'Energy generation (by site)'!$C30*AJ$10)</f>
        <v>0</v>
      </c>
      <c r="AK15" s="400">
        <f>IF(AK$6&gt;'Global assumptions'!$D$7,0,'Energy generation (by site)'!$C30*AK$10)</f>
        <v>0</v>
      </c>
      <c r="AL15" s="400">
        <f>IF(AL$6&gt;'Global assumptions'!$D$7,0,'Energy generation (by site)'!$C30*AL$10)</f>
        <v>0</v>
      </c>
      <c r="AM15" s="400">
        <f>IF(AM$6&gt;'Global assumptions'!$D$7,0,'Energy generation (by site)'!$C30*AM$10)</f>
        <v>0</v>
      </c>
      <c r="AN15" s="400">
        <f>IF(AN$6&gt;'Global assumptions'!$D$7,0,'Energy generation (by site)'!$C30*AN$10)</f>
        <v>0</v>
      </c>
      <c r="AO15" s="400">
        <f>IF(AO$6&gt;'Global assumptions'!$D$7,0,'Energy generation (by site)'!$C30*AO$10)</f>
        <v>0</v>
      </c>
      <c r="AP15" s="400">
        <f>IF(AP$6&gt;'Global assumptions'!$D$7,0,'Energy generation (by site)'!$C30*AP$10)</f>
        <v>0</v>
      </c>
      <c r="AQ15" s="400">
        <f>IF(AQ$6&gt;'Global assumptions'!$D$7,0,'Energy generation (by site)'!$C30*AQ$10)</f>
        <v>0</v>
      </c>
      <c r="AR15" s="400">
        <f>IF(AR$6&gt;'Global assumptions'!$D$7,0,'Energy generation (by site)'!$C30*AR$10)</f>
        <v>0</v>
      </c>
      <c r="AS15" s="400">
        <f>IF(AS$6&gt;'Global assumptions'!$D$7,0,'Energy generation (by site)'!$C30*AS$10)</f>
        <v>0</v>
      </c>
      <c r="AT15" s="400">
        <f>IF(AT$6&gt;'Global assumptions'!$D$7,0,'Energy generation (by site)'!$C30*AT$10)</f>
        <v>0</v>
      </c>
      <c r="AU15" s="400">
        <f>IF(AU$6&gt;'Global assumptions'!$D$7,0,'Energy generation (by site)'!$C30*AU$10)</f>
        <v>0</v>
      </c>
      <c r="AV15" s="400">
        <f>IF(AV$6&gt;'Global assumptions'!$D$7,0,'Energy generation (by site)'!$C30*AV$10)</f>
        <v>0</v>
      </c>
      <c r="AW15" s="400">
        <f>IF(AW$6&gt;'Global assumptions'!$D$7,0,'Energy generation (by site)'!$C30*AW$10)</f>
        <v>0</v>
      </c>
      <c r="AX15" s="400">
        <f>IF(AX$6&gt;'Global assumptions'!$D$7,0,'Energy generation (by site)'!$C30*AX$10)</f>
        <v>0</v>
      </c>
      <c r="AY15" s="400">
        <f>IF(AY$6&gt;'Global assumptions'!$D$7,0,'Energy generation (by site)'!$C30*AY$10)</f>
        <v>0</v>
      </c>
      <c r="AZ15" s="400">
        <f>IF(AZ$6&gt;'Global assumptions'!$D$7,0,'Energy generation (by site)'!$C30*AZ$10)</f>
        <v>0</v>
      </c>
      <c r="BA15" s="400">
        <f>IF(BA$6&gt;'Global assumptions'!$D$7,0,'Energy generation (by site)'!$C30*BA$10)</f>
        <v>0</v>
      </c>
      <c r="BB15" s="126"/>
    </row>
    <row r="16" spans="1:54" ht="9" customHeight="1" x14ac:dyDescent="0.25">
      <c r="A16" s="334"/>
      <c r="B16" s="335"/>
      <c r="C16" s="336"/>
      <c r="D16" s="336"/>
      <c r="E16" s="189"/>
      <c r="F16" s="189"/>
      <c r="G16" s="189"/>
      <c r="H16" s="189"/>
      <c r="I16" s="189"/>
      <c r="J16" s="189"/>
      <c r="K16" s="189"/>
      <c r="L16" s="189"/>
      <c r="M16" s="189"/>
      <c r="N16" s="189"/>
      <c r="O16" s="189"/>
      <c r="P16" s="189"/>
      <c r="Q16" s="189"/>
      <c r="R16" s="189"/>
      <c r="S16" s="189"/>
      <c r="T16" s="189"/>
      <c r="U16" s="189"/>
      <c r="V16" s="189"/>
      <c r="W16" s="189"/>
      <c r="X16" s="189"/>
      <c r="Y16" s="189"/>
      <c r="Z16" s="189"/>
      <c r="AA16" s="189"/>
      <c r="AB16" s="189"/>
      <c r="AC16" s="189"/>
      <c r="AD16" s="189"/>
      <c r="AE16" s="189"/>
      <c r="AF16" s="189"/>
      <c r="AG16" s="189"/>
      <c r="AH16" s="189"/>
      <c r="AI16" s="189"/>
      <c r="AJ16" s="189"/>
      <c r="AK16" s="189"/>
      <c r="AL16" s="189"/>
      <c r="AM16" s="189"/>
      <c r="AN16" s="189"/>
      <c r="AO16" s="189"/>
      <c r="AP16" s="189"/>
      <c r="AQ16" s="189"/>
      <c r="AR16" s="189"/>
      <c r="AS16" s="189"/>
      <c r="AT16" s="189"/>
      <c r="AU16" s="189"/>
      <c r="AV16" s="189"/>
      <c r="AW16" s="189"/>
      <c r="AX16" s="189"/>
      <c r="AY16" s="189"/>
      <c r="AZ16" s="189"/>
      <c r="BA16" s="189"/>
    </row>
    <row r="17" spans="1:54" ht="5.4" customHeight="1" x14ac:dyDescent="0.25">
      <c r="A17" s="334"/>
      <c r="B17" s="335"/>
      <c r="C17" s="336"/>
      <c r="D17" s="336"/>
      <c r="E17" s="189"/>
      <c r="F17" s="189"/>
      <c r="G17" s="189"/>
      <c r="H17" s="189"/>
      <c r="I17" s="189"/>
      <c r="J17" s="189"/>
      <c r="K17" s="189"/>
      <c r="L17" s="189"/>
      <c r="M17" s="189"/>
      <c r="N17" s="189"/>
      <c r="O17" s="189"/>
      <c r="P17" s="189"/>
      <c r="Q17" s="189"/>
      <c r="R17" s="189"/>
      <c r="S17" s="189"/>
      <c r="T17" s="189"/>
      <c r="U17" s="189"/>
      <c r="V17" s="189"/>
      <c r="W17" s="189"/>
      <c r="X17" s="189"/>
      <c r="Y17" s="189"/>
      <c r="Z17" s="189"/>
      <c r="AA17" s="189"/>
      <c r="AB17" s="189"/>
      <c r="AC17" s="189"/>
      <c r="AD17" s="189"/>
      <c r="AE17" s="189"/>
      <c r="AF17" s="189"/>
      <c r="AG17" s="189"/>
      <c r="AH17" s="189"/>
      <c r="AI17" s="189"/>
      <c r="AJ17" s="189"/>
      <c r="AK17" s="189"/>
      <c r="AL17" s="189"/>
      <c r="AM17" s="189"/>
      <c r="AN17" s="189"/>
      <c r="AO17" s="189"/>
      <c r="AP17" s="189"/>
      <c r="AQ17" s="189"/>
      <c r="AR17" s="189"/>
      <c r="AS17" s="189"/>
      <c r="AT17" s="189"/>
      <c r="AU17" s="189"/>
      <c r="AV17" s="189"/>
      <c r="AW17" s="189"/>
      <c r="AX17" s="189"/>
      <c r="AY17" s="189"/>
      <c r="AZ17" s="189"/>
      <c r="BA17" s="189"/>
    </row>
    <row r="18" spans="1:54" x14ac:dyDescent="0.25">
      <c r="A18" s="348" t="s">
        <v>37</v>
      </c>
      <c r="B18" s="335"/>
      <c r="C18" s="336"/>
      <c r="D18" s="336"/>
      <c r="E18" s="189"/>
      <c r="F18" s="189"/>
      <c r="G18" s="189"/>
      <c r="H18" s="189"/>
      <c r="I18" s="189"/>
      <c r="J18" s="189"/>
      <c r="K18" s="189"/>
      <c r="L18" s="189"/>
      <c r="M18" s="189"/>
      <c r="N18" s="189"/>
      <c r="O18" s="189"/>
      <c r="P18" s="189"/>
      <c r="Q18" s="189"/>
      <c r="R18" s="189"/>
      <c r="S18" s="189"/>
      <c r="T18" s="189"/>
      <c r="U18" s="189"/>
      <c r="V18" s="189"/>
      <c r="W18" s="355"/>
      <c r="X18" s="189"/>
      <c r="Y18" s="189"/>
      <c r="Z18" s="189"/>
      <c r="AA18" s="189"/>
      <c r="AB18" s="189"/>
      <c r="AC18" s="189"/>
      <c r="AD18" s="189"/>
      <c r="AE18" s="189"/>
      <c r="AF18" s="189"/>
      <c r="AG18" s="189"/>
      <c r="AH18" s="189"/>
      <c r="AI18" s="189"/>
      <c r="AJ18" s="189"/>
      <c r="AK18" s="189"/>
      <c r="AL18" s="189"/>
      <c r="AM18" s="189"/>
      <c r="AN18" s="189"/>
      <c r="AO18" s="189"/>
      <c r="AP18" s="189"/>
      <c r="AQ18" s="189"/>
      <c r="AR18" s="189"/>
      <c r="AS18" s="189"/>
      <c r="AT18" s="189"/>
      <c r="AU18" s="189"/>
      <c r="AV18" s="189"/>
      <c r="AW18" s="189"/>
      <c r="AX18" s="189"/>
      <c r="AY18" s="189"/>
      <c r="AZ18" s="189"/>
      <c r="BA18" s="189"/>
    </row>
    <row r="19" spans="1:54" s="15" customFormat="1" ht="14.4" x14ac:dyDescent="0.3">
      <c r="A19" s="245" t="s">
        <v>38</v>
      </c>
      <c r="B19" s="404">
        <f>SUM(C19:XFD19)</f>
        <v>0</v>
      </c>
      <c r="C19" s="356"/>
      <c r="D19" s="405">
        <f>IF(D$6&gt;'Global assumptions'!$D$7,0,D$8*D13*D63)</f>
        <v>0</v>
      </c>
      <c r="E19" s="405">
        <f>IF(E$6&gt;'Global assumptions'!$D$7,0,E$8*E13*E63)</f>
        <v>0</v>
      </c>
      <c r="F19" s="405">
        <f>IF(F$6&gt;'Global assumptions'!$D$7,0,F$8*F13*F63)</f>
        <v>0</v>
      </c>
      <c r="G19" s="405">
        <f>IF(G$6&gt;'Global assumptions'!$D$7,0,G$8*G13*G63)</f>
        <v>0</v>
      </c>
      <c r="H19" s="405">
        <f>IF(H$6&gt;'Global assumptions'!$D$7,0,H$8*H13*H63)</f>
        <v>0</v>
      </c>
      <c r="I19" s="405">
        <f>IF(I$6&gt;'Global assumptions'!$D$7,0,I$8*I13*I63)</f>
        <v>0</v>
      </c>
      <c r="J19" s="405">
        <f>IF(J$6&gt;'Global assumptions'!$D$7,0,J$8*J13*J63)</f>
        <v>0</v>
      </c>
      <c r="K19" s="405">
        <f>IF(K$6&gt;'Global assumptions'!$D$7,0,K$8*K13*K63)</f>
        <v>0</v>
      </c>
      <c r="L19" s="405">
        <f>IF(L$6&gt;'Global assumptions'!$D$7,0,L$8*L13*L63)</f>
        <v>0</v>
      </c>
      <c r="M19" s="405">
        <f>IF(M$6&gt;'Global assumptions'!$D$7,0,M$8*M13*M63)</f>
        <v>0</v>
      </c>
      <c r="N19" s="405">
        <f>IF(N$6&gt;'Global assumptions'!$D$7,0,N$8*N13*N63)</f>
        <v>0</v>
      </c>
      <c r="O19" s="405">
        <f>IF(O$6&gt;'Global assumptions'!$D$7,0,O$8*O13*O63)</f>
        <v>0</v>
      </c>
      <c r="P19" s="405">
        <f>IF(P$6&gt;'Global assumptions'!$D$7,0,P$8*P13*P63)</f>
        <v>0</v>
      </c>
      <c r="Q19" s="405">
        <f>IF(Q$6&gt;'Global assumptions'!$D$7,0,Q$8*Q13*Q63)</f>
        <v>0</v>
      </c>
      <c r="R19" s="405">
        <f>IF(R$6&gt;'Global assumptions'!$D$7,0,R$8*R13*R63)</f>
        <v>0</v>
      </c>
      <c r="S19" s="405">
        <f>IF(S$6&gt;'Global assumptions'!$D$7,0,S$8*S13*S63)</f>
        <v>0</v>
      </c>
      <c r="T19" s="405">
        <f>IF(T$6&gt;'Global assumptions'!$D$7,0,T$8*T13*T63)</f>
        <v>0</v>
      </c>
      <c r="U19" s="405">
        <f>IF(U$6&gt;'Global assumptions'!$D$7,0,U$8*U13*U63)</f>
        <v>0</v>
      </c>
      <c r="V19" s="405">
        <f>IF(V$6&gt;'Global assumptions'!$D$7,0,V$8*V13*V63)</f>
        <v>0</v>
      </c>
      <c r="W19" s="405">
        <f>IF(W$6&gt;'Global assumptions'!$D$7,0,W$8*W13*W63)</f>
        <v>0</v>
      </c>
      <c r="X19" s="405">
        <f>IF(X$6&gt;'Global assumptions'!$D$7,0,X$8*X13*X63)</f>
        <v>0</v>
      </c>
      <c r="Y19" s="405">
        <f>IF(Y$6&gt;'Global assumptions'!$D$7,0,Y$8*Y13*Y63)</f>
        <v>0</v>
      </c>
      <c r="Z19" s="405">
        <f>IF(Z$6&gt;'Global assumptions'!$D$7,0,Z$8*Z13*Z63)</f>
        <v>0</v>
      </c>
      <c r="AA19" s="405">
        <f>IF(AA$6&gt;'Global assumptions'!$D$7,0,AA$8*AA13*AA63)</f>
        <v>0</v>
      </c>
      <c r="AB19" s="405">
        <f>IF(AB$6&gt;'Global assumptions'!$D$7,0,AB$8*AB13*AB63)</f>
        <v>0</v>
      </c>
      <c r="AC19" s="405">
        <f>IF(AC$6&gt;'Global assumptions'!$D$7,0,AC$8*AC13*AC63)</f>
        <v>0</v>
      </c>
      <c r="AD19" s="405">
        <f>IF(AD$6&gt;'Global assumptions'!$D$7,0,AD$8*AD13*AD63)</f>
        <v>0</v>
      </c>
      <c r="AE19" s="405">
        <f>IF(AE$6&gt;'Global assumptions'!$D$7,0,AE$8*AE13*AE63)</f>
        <v>0</v>
      </c>
      <c r="AF19" s="405">
        <f>IF(AF$6&gt;'Global assumptions'!$D$7,0,AF$8*AF13*AF63)</f>
        <v>0</v>
      </c>
      <c r="AG19" s="405">
        <f>IF(AG$6&gt;'Global assumptions'!$D$7,0,AG$8*AG13*AG63)</f>
        <v>0</v>
      </c>
      <c r="AH19" s="405">
        <f>IF(AH$6&gt;'Global assumptions'!$D$7,0,AH$8*AH13*AH63)</f>
        <v>0</v>
      </c>
      <c r="AI19" s="405">
        <f>IF(AI$6&gt;'Global assumptions'!$D$7,0,AI$8*AI13*AI63)</f>
        <v>0</v>
      </c>
      <c r="AJ19" s="405">
        <f>IF(AJ$6&gt;'Global assumptions'!$D$7,0,AJ$8*AJ13*AJ63)</f>
        <v>0</v>
      </c>
      <c r="AK19" s="405">
        <f>IF(AK$6&gt;'Global assumptions'!$D$7,0,AK$8*AK13*AK63)</f>
        <v>0</v>
      </c>
      <c r="AL19" s="405">
        <f>IF(AL$6&gt;'Global assumptions'!$D$7,0,AL$8*AL13*AL63)</f>
        <v>0</v>
      </c>
      <c r="AM19" s="405">
        <f>IF(AM$6&gt;'Global assumptions'!$D$7,0,AM$8*AM13*AM63)</f>
        <v>0</v>
      </c>
      <c r="AN19" s="405">
        <f>IF(AN$6&gt;'Global assumptions'!$D$7,0,AN$8*AN13*AN63)</f>
        <v>0</v>
      </c>
      <c r="AO19" s="405">
        <f>IF(AO$6&gt;'Global assumptions'!$D$7,0,AO$8*AO13*AO63)</f>
        <v>0</v>
      </c>
      <c r="AP19" s="405">
        <f>IF(AP$6&gt;'Global assumptions'!$D$7,0,AP$8*AP13*AP63)</f>
        <v>0</v>
      </c>
      <c r="AQ19" s="405">
        <f>IF(AQ$6&gt;'Global assumptions'!$D$7,0,AQ$8*AQ13*AQ63)</f>
        <v>0</v>
      </c>
      <c r="AR19" s="405">
        <f>IF(AR$6&gt;'Global assumptions'!$D$7,0,AR$8*AR13*AR63)</f>
        <v>0</v>
      </c>
      <c r="AS19" s="405">
        <f>IF(AS$6&gt;'Global assumptions'!$D$7,0,AS$8*AS13*AS63)</f>
        <v>0</v>
      </c>
      <c r="AT19" s="405">
        <f>IF(AT$6&gt;'Global assumptions'!$D$7,0,AT$8*AT13*AT63)</f>
        <v>0</v>
      </c>
      <c r="AU19" s="405">
        <f>IF(AU$6&gt;'Global assumptions'!$D$7,0,AU$8*AU13*AU63)</f>
        <v>0</v>
      </c>
      <c r="AV19" s="405">
        <f>IF(AV$6&gt;'Global assumptions'!$D$7,0,AV$8*AV13*AV63)</f>
        <v>0</v>
      </c>
      <c r="AW19" s="405">
        <f>IF(AW$6&gt;'Global assumptions'!$D$7,0,AW$8*AW13*AW63)</f>
        <v>0</v>
      </c>
      <c r="AX19" s="405">
        <f>IF(AX$6&gt;'Global assumptions'!$D$7,0,AX$8*AX13*AX63)</f>
        <v>0</v>
      </c>
      <c r="AY19" s="405">
        <f>IF(AY$6&gt;'Global assumptions'!$D$7,0,AY$8*AY13*AY63)</f>
        <v>0</v>
      </c>
      <c r="AZ19" s="405">
        <f>IF(AZ$6&gt;'Global assumptions'!$D$7,0,AZ$8*AZ13*AZ63)</f>
        <v>0</v>
      </c>
      <c r="BA19" s="405">
        <f>IF(BA$6&gt;'Global assumptions'!$D$7,0,BA$8*BA13*BA63)</f>
        <v>0</v>
      </c>
    </row>
    <row r="20" spans="1:54" s="6" customFormat="1" ht="14.4" x14ac:dyDescent="0.3">
      <c r="A20" s="210" t="s">
        <v>241</v>
      </c>
      <c r="B20" s="357"/>
      <c r="C20" s="358"/>
      <c r="D20" s="406">
        <f>IF(D$6&gt;'Global assumptions'!$D$7,0,D$8*D14*D64)</f>
        <v>0</v>
      </c>
      <c r="E20" s="406">
        <f>IF(E$6&gt;'Global assumptions'!$D$7,0,E$8*E14*E64)</f>
        <v>0</v>
      </c>
      <c r="F20" s="406">
        <f>IF(F$6&gt;'Global assumptions'!$D$7,0,F$8*F14*F64)</f>
        <v>0</v>
      </c>
      <c r="G20" s="406">
        <f>IF(G$6&gt;'Global assumptions'!$D$7,0,G$8*G14*G64)</f>
        <v>0</v>
      </c>
      <c r="H20" s="406">
        <f>IF(H$6&gt;'Global assumptions'!$D$7,0,H$8*H14*H64)</f>
        <v>0</v>
      </c>
      <c r="I20" s="406">
        <f>IF(I$6&gt;'Global assumptions'!$D$7,0,I$8*I14*I64)</f>
        <v>0</v>
      </c>
      <c r="J20" s="406">
        <f>IF(J$6&gt;'Global assumptions'!$D$7,0,J$8*J14*J64)</f>
        <v>0</v>
      </c>
      <c r="K20" s="406">
        <f>IF(K$6&gt;'Global assumptions'!$D$7,0,K$8*K14*K64)</f>
        <v>0</v>
      </c>
      <c r="L20" s="406">
        <f>IF(L$6&gt;'Global assumptions'!$D$7,0,L$8*L14*L64)</f>
        <v>0</v>
      </c>
      <c r="M20" s="406">
        <f>IF(M$6&gt;'Global assumptions'!$D$7,0,M$8*M14*M64)</f>
        <v>0</v>
      </c>
      <c r="N20" s="406">
        <f>IF(N$6&gt;'Global assumptions'!$D$7,0,N$8*N14*N64)</f>
        <v>0</v>
      </c>
      <c r="O20" s="406">
        <f>IF(O$6&gt;'Global assumptions'!$D$7,0,O$8*O14*O64)</f>
        <v>0</v>
      </c>
      <c r="P20" s="406">
        <f>IF(P$6&gt;'Global assumptions'!$D$7,0,P$8*P14*P64)</f>
        <v>0</v>
      </c>
      <c r="Q20" s="406">
        <f>IF(Q$6&gt;'Global assumptions'!$D$7,0,Q$8*Q14*Q64)</f>
        <v>0</v>
      </c>
      <c r="R20" s="406">
        <f>IF(R$6&gt;'Global assumptions'!$D$7,0,R$8*R14*R64)</f>
        <v>0</v>
      </c>
      <c r="S20" s="406">
        <f>IF(S$6&gt;'Global assumptions'!$D$7,0,S$8*S14*S64)</f>
        <v>0</v>
      </c>
      <c r="T20" s="406">
        <f>IF(T$6&gt;'Global assumptions'!$D$7,0,T$8*T14*T64)</f>
        <v>0</v>
      </c>
      <c r="U20" s="406">
        <f>IF(U$6&gt;'Global assumptions'!$D$7,0,U$8*U14*U64)</f>
        <v>0</v>
      </c>
      <c r="V20" s="406">
        <f>IF(V$6&gt;'Global assumptions'!$D$7,0,V$8*V14*V64)</f>
        <v>0</v>
      </c>
      <c r="W20" s="406">
        <f>IF(W$6&gt;'Global assumptions'!$D$7,0,W$8*W14*W64)</f>
        <v>0</v>
      </c>
      <c r="X20" s="406">
        <f>IF(X$6&gt;'Global assumptions'!$D$7,0,X$8*X14*X64)</f>
        <v>0</v>
      </c>
      <c r="Y20" s="406">
        <f>IF(Y$6&gt;'Global assumptions'!$D$7,0,Y$8*Y14*Y64)</f>
        <v>0</v>
      </c>
      <c r="Z20" s="406">
        <f>IF(Z$6&gt;'Global assumptions'!$D$7,0,Z$8*Z14*Z64)</f>
        <v>0</v>
      </c>
      <c r="AA20" s="406">
        <f>IF(AA$6&gt;'Global assumptions'!$D$7,0,AA$8*AA14*AA64)</f>
        <v>0</v>
      </c>
      <c r="AB20" s="406">
        <f>IF(AB$6&gt;'Global assumptions'!$D$7,0,AB$8*AB14*AB64)</f>
        <v>0</v>
      </c>
      <c r="AC20" s="406">
        <f>IF(AC$6&gt;'Global assumptions'!$D$7,0,AC$8*AC14*AC64)</f>
        <v>0</v>
      </c>
      <c r="AD20" s="406">
        <f>IF(AD$6&gt;'Global assumptions'!$D$7,0,AD$8*AD14*AD64)</f>
        <v>0</v>
      </c>
      <c r="AE20" s="406">
        <f>IF(AE$6&gt;'Global assumptions'!$D$7,0,AE$8*AE14*AE64)</f>
        <v>0</v>
      </c>
      <c r="AF20" s="406">
        <f>IF(AF$6&gt;'Global assumptions'!$D$7,0,AF$8*AF14*AF64)</f>
        <v>0</v>
      </c>
      <c r="AG20" s="406">
        <f>IF(AG$6&gt;'Global assumptions'!$D$7,0,AG$8*AG14*AG64)</f>
        <v>0</v>
      </c>
      <c r="AH20" s="406">
        <f>IF(AH$6&gt;'Global assumptions'!$D$7,0,AH$8*AH14*AH64)</f>
        <v>0</v>
      </c>
      <c r="AI20" s="406">
        <f>IF(AI$6&gt;'Global assumptions'!$D$7,0,AI$8*AI14*AI64)</f>
        <v>0</v>
      </c>
      <c r="AJ20" s="406">
        <f>IF(AJ$6&gt;'Global assumptions'!$D$7,0,AJ$8*AJ14*AJ64)</f>
        <v>0</v>
      </c>
      <c r="AK20" s="406">
        <f>IF(AK$6&gt;'Global assumptions'!$D$7,0,AK$8*AK14*AK64)</f>
        <v>0</v>
      </c>
      <c r="AL20" s="406">
        <f>IF(AL$6&gt;'Global assumptions'!$D$7,0,AL$8*AL14*AL64)</f>
        <v>0</v>
      </c>
      <c r="AM20" s="406">
        <f>IF(AM$6&gt;'Global assumptions'!$D$7,0,AM$8*AM14*AM64)</f>
        <v>0</v>
      </c>
      <c r="AN20" s="406">
        <f>IF(AN$6&gt;'Global assumptions'!$D$7,0,AN$8*AN14*AN64)</f>
        <v>0</v>
      </c>
      <c r="AO20" s="406">
        <f>IF(AO$6&gt;'Global assumptions'!$D$7,0,AO$8*AO14*AO64)</f>
        <v>0</v>
      </c>
      <c r="AP20" s="406">
        <f>IF(AP$6&gt;'Global assumptions'!$D$7,0,AP$8*AP14*AP64)</f>
        <v>0</v>
      </c>
      <c r="AQ20" s="406">
        <f>IF(AQ$6&gt;'Global assumptions'!$D$7,0,AQ$8*AQ14*AQ64)</f>
        <v>0</v>
      </c>
      <c r="AR20" s="406">
        <f>IF(AR$6&gt;'Global assumptions'!$D$7,0,AR$8*AR14*AR64)</f>
        <v>0</v>
      </c>
      <c r="AS20" s="406">
        <f>IF(AS$6&gt;'Global assumptions'!$D$7,0,AS$8*AS14*AS64)</f>
        <v>0</v>
      </c>
      <c r="AT20" s="406">
        <f>IF(AT$6&gt;'Global assumptions'!$D$7,0,AT$8*AT14*AT64)</f>
        <v>0</v>
      </c>
      <c r="AU20" s="406">
        <f>IF(AU$6&gt;'Global assumptions'!$D$7,0,AU$8*AU14*AU64)</f>
        <v>0</v>
      </c>
      <c r="AV20" s="406">
        <f>IF(AV$6&gt;'Global assumptions'!$D$7,0,AV$8*AV14*AV64)</f>
        <v>0</v>
      </c>
      <c r="AW20" s="406">
        <f>IF(AW$6&gt;'Global assumptions'!$D$7,0,AW$8*AW14*AW64)</f>
        <v>0</v>
      </c>
      <c r="AX20" s="406">
        <f>IF(AX$6&gt;'Global assumptions'!$D$7,0,AX$8*AX14*AX64)</f>
        <v>0</v>
      </c>
      <c r="AY20" s="406">
        <f>IF(AY$6&gt;'Global assumptions'!$D$7,0,AY$8*AY14*AY64)</f>
        <v>0</v>
      </c>
      <c r="AZ20" s="406">
        <f>IF(AZ$6&gt;'Global assumptions'!$D$7,0,AZ$8*AZ14*AZ64)</f>
        <v>0</v>
      </c>
      <c r="BA20" s="406">
        <f>IF(BA$6&gt;'Global assumptions'!$D$7,0,BA$8*BA14*BA64)</f>
        <v>0</v>
      </c>
    </row>
    <row r="21" spans="1:54" s="10" customFormat="1" ht="14.4" x14ac:dyDescent="0.3">
      <c r="A21" s="275" t="s">
        <v>39</v>
      </c>
      <c r="B21" s="408">
        <f>SUM(C21:XFD21)</f>
        <v>0</v>
      </c>
      <c r="C21" s="361"/>
      <c r="D21" s="407">
        <f>IF(D$6&gt;'Global assumptions'!$D$7,0,D$8*D15*D65)</f>
        <v>0</v>
      </c>
      <c r="E21" s="407">
        <f>IF(E$6&gt;'Global assumptions'!$D$7,0,E$8*E15*E65)</f>
        <v>0</v>
      </c>
      <c r="F21" s="407">
        <f>IF(F$6&gt;'Global assumptions'!$D$7,0,F$8*F15*F65)</f>
        <v>0</v>
      </c>
      <c r="G21" s="407">
        <f>IF(G$6&gt;'Global assumptions'!$D$7,0,G$8*G15*G65)</f>
        <v>0</v>
      </c>
      <c r="H21" s="407">
        <f>IF(H$6&gt;'Global assumptions'!$D$7,0,H$8*H15*H65)</f>
        <v>0</v>
      </c>
      <c r="I21" s="407">
        <f>IF(I$6&gt;'Global assumptions'!$D$7,0,I$8*I15*I65)</f>
        <v>0</v>
      </c>
      <c r="J21" s="407">
        <f>IF(J$6&gt;'Global assumptions'!$D$7,0,J$8*J15*J65)</f>
        <v>0</v>
      </c>
      <c r="K21" s="407">
        <f>IF(K$6&gt;'Global assumptions'!$D$7,0,K$8*K15*K65)</f>
        <v>0</v>
      </c>
      <c r="L21" s="407">
        <f>IF(L$6&gt;'Global assumptions'!$D$7,0,L$8*L15*L65)</f>
        <v>0</v>
      </c>
      <c r="M21" s="407">
        <f>IF(M$6&gt;'Global assumptions'!$D$7,0,M$8*M15*M65)</f>
        <v>0</v>
      </c>
      <c r="N21" s="407">
        <f>IF(N$6&gt;'Global assumptions'!$D$7,0,N$8*N15*N65)</f>
        <v>0</v>
      </c>
      <c r="O21" s="407">
        <f>IF(O$6&gt;'Global assumptions'!$D$7,0,O$8*O15*O65)</f>
        <v>0</v>
      </c>
      <c r="P21" s="407">
        <f>IF(P$6&gt;'Global assumptions'!$D$7,0,P$8*P15*P65)</f>
        <v>0</v>
      </c>
      <c r="Q21" s="407">
        <f>IF(Q$6&gt;'Global assumptions'!$D$7,0,Q$8*Q15*Q65)</f>
        <v>0</v>
      </c>
      <c r="R21" s="407">
        <f>IF(R$6&gt;'Global assumptions'!$D$7,0,R$8*R15*R65)</f>
        <v>0</v>
      </c>
      <c r="S21" s="407">
        <f>IF(S$6&gt;'Global assumptions'!$D$7,0,S$8*S15*S65)</f>
        <v>0</v>
      </c>
      <c r="T21" s="407">
        <f>IF(T$6&gt;'Global assumptions'!$D$7,0,T$8*T15*T65)</f>
        <v>0</v>
      </c>
      <c r="U21" s="407">
        <f>IF(U$6&gt;'Global assumptions'!$D$7,0,U$8*U15*U65)</f>
        <v>0</v>
      </c>
      <c r="V21" s="407">
        <f>IF(V$6&gt;'Global assumptions'!$D$7,0,V$8*V15*V65)</f>
        <v>0</v>
      </c>
      <c r="W21" s="407">
        <f>IF(W$6&gt;'Global assumptions'!$D$7,0,W$8*W15*W65)</f>
        <v>0</v>
      </c>
      <c r="X21" s="407">
        <f>IF(X$6&gt;'Global assumptions'!$D$7,0,X$8*X15*X65)</f>
        <v>0</v>
      </c>
      <c r="Y21" s="407">
        <f>IF(Y$6&gt;'Global assumptions'!$D$7,0,Y$8*Y15*Y65)</f>
        <v>0</v>
      </c>
      <c r="Z21" s="407">
        <f>IF(Z$6&gt;'Global assumptions'!$D$7,0,Z$8*Z15*Z65)</f>
        <v>0</v>
      </c>
      <c r="AA21" s="407">
        <f>IF(AA$6&gt;'Global assumptions'!$D$7,0,AA$8*AA15*AA65)</f>
        <v>0</v>
      </c>
      <c r="AB21" s="407">
        <f>IF(AB$6&gt;'Global assumptions'!$D$7,0,AB$8*AB15*AB65)</f>
        <v>0</v>
      </c>
      <c r="AC21" s="407">
        <f>IF(AC$6&gt;'Global assumptions'!$D$7,0,AC$8*AC15*AC65)</f>
        <v>0</v>
      </c>
      <c r="AD21" s="407">
        <f>IF(AD$6&gt;'Global assumptions'!$D$7,0,AD$8*AD15*AD65)</f>
        <v>0</v>
      </c>
      <c r="AE21" s="407">
        <f>IF(AE$6&gt;'Global assumptions'!$D$7,0,AE$8*AE15*AE65)</f>
        <v>0</v>
      </c>
      <c r="AF21" s="407">
        <f>IF(AF$6&gt;'Global assumptions'!$D$7,0,AF$8*AF15*AF65)</f>
        <v>0</v>
      </c>
      <c r="AG21" s="407">
        <f>IF(AG$6&gt;'Global assumptions'!$D$7,0,AG$8*AG15*AG65)</f>
        <v>0</v>
      </c>
      <c r="AH21" s="407">
        <f>IF(AH$6&gt;'Global assumptions'!$D$7,0,AH$8*AH15*AH65)</f>
        <v>0</v>
      </c>
      <c r="AI21" s="407">
        <f>IF(AI$6&gt;'Global assumptions'!$D$7,0,AI$8*AI15*AI65)</f>
        <v>0</v>
      </c>
      <c r="AJ21" s="407">
        <f>IF(AJ$6&gt;'Global assumptions'!$D$7,0,AJ$8*AJ15*AJ65)</f>
        <v>0</v>
      </c>
      <c r="AK21" s="407">
        <f>IF(AK$6&gt;'Global assumptions'!$D$7,0,AK$8*AK15*AK65)</f>
        <v>0</v>
      </c>
      <c r="AL21" s="407">
        <f>IF(AL$6&gt;'Global assumptions'!$D$7,0,AL$8*AL15*AL65)</f>
        <v>0</v>
      </c>
      <c r="AM21" s="407">
        <f>IF(AM$6&gt;'Global assumptions'!$D$7,0,AM$8*AM15*AM65)</f>
        <v>0</v>
      </c>
      <c r="AN21" s="407">
        <f>IF(AN$6&gt;'Global assumptions'!$D$7,0,AN$8*AN15*AN65)</f>
        <v>0</v>
      </c>
      <c r="AO21" s="407">
        <f>IF(AO$6&gt;'Global assumptions'!$D$7,0,AO$8*AO15*AO65)</f>
        <v>0</v>
      </c>
      <c r="AP21" s="407">
        <f>IF(AP$6&gt;'Global assumptions'!$D$7,0,AP$8*AP15*AP65)</f>
        <v>0</v>
      </c>
      <c r="AQ21" s="407">
        <f>IF(AQ$6&gt;'Global assumptions'!$D$7,0,AQ$8*AQ15*AQ65)</f>
        <v>0</v>
      </c>
      <c r="AR21" s="407">
        <f>IF(AR$6&gt;'Global assumptions'!$D$7,0,AR$8*AR15*AR65)</f>
        <v>0</v>
      </c>
      <c r="AS21" s="407">
        <f>IF(AS$6&gt;'Global assumptions'!$D$7,0,AS$8*AS15*AS65)</f>
        <v>0</v>
      </c>
      <c r="AT21" s="407">
        <f>IF(AT$6&gt;'Global assumptions'!$D$7,0,AT$8*AT15*AT65)</f>
        <v>0</v>
      </c>
      <c r="AU21" s="407">
        <f>IF(AU$6&gt;'Global assumptions'!$D$7,0,AU$8*AU15*AU65)</f>
        <v>0</v>
      </c>
      <c r="AV21" s="407">
        <f>IF(AV$6&gt;'Global assumptions'!$D$7,0,AV$8*AV15*AV65)</f>
        <v>0</v>
      </c>
      <c r="AW21" s="407">
        <f>IF(AW$6&gt;'Global assumptions'!$D$7,0,AW$8*AW15*AW65)</f>
        <v>0</v>
      </c>
      <c r="AX21" s="407">
        <f>IF(AX$6&gt;'Global assumptions'!$D$7,0,AX$8*AX15*AX65)</f>
        <v>0</v>
      </c>
      <c r="AY21" s="407">
        <f>IF(AY$6&gt;'Global assumptions'!$D$7,0,AY$8*AY15*AY65)</f>
        <v>0</v>
      </c>
      <c r="AZ21" s="407">
        <f>IF(AZ$6&gt;'Global assumptions'!$D$7,0,AZ$8*AZ15*AZ65)</f>
        <v>0</v>
      </c>
      <c r="BA21" s="407">
        <f>IF(BA$6&gt;'Global assumptions'!$D$7,0,BA$8*BA15*BA65)</f>
        <v>0</v>
      </c>
      <c r="BB21" s="20"/>
    </row>
    <row r="22" spans="1:54" s="6" customFormat="1" ht="14.4" x14ac:dyDescent="0.3">
      <c r="A22" s="253"/>
      <c r="B22" s="362"/>
      <c r="C22" s="336"/>
      <c r="D22" s="359"/>
      <c r="E22" s="359"/>
      <c r="F22" s="359"/>
      <c r="G22" s="359"/>
      <c r="H22" s="359"/>
      <c r="I22" s="359"/>
      <c r="J22" s="359"/>
      <c r="K22" s="359"/>
      <c r="L22" s="359"/>
      <c r="M22" s="359"/>
      <c r="N22" s="359"/>
      <c r="O22" s="359"/>
      <c r="P22" s="359"/>
      <c r="Q22" s="359"/>
      <c r="R22" s="359"/>
      <c r="S22" s="359"/>
      <c r="T22" s="359"/>
      <c r="U22" s="359"/>
      <c r="V22" s="359"/>
      <c r="W22" s="359"/>
      <c r="X22" s="359"/>
      <c r="Y22" s="359"/>
      <c r="Z22" s="359"/>
      <c r="AA22" s="359"/>
      <c r="AB22" s="359"/>
      <c r="AC22" s="359"/>
      <c r="AD22" s="359"/>
      <c r="AE22" s="359"/>
      <c r="AF22" s="359"/>
      <c r="AG22" s="359"/>
      <c r="AH22" s="359"/>
      <c r="AI22" s="359"/>
      <c r="AJ22" s="359"/>
      <c r="AK22" s="359"/>
      <c r="AL22" s="359"/>
      <c r="AM22" s="359"/>
      <c r="AN22" s="359"/>
      <c r="AO22" s="359"/>
      <c r="AP22" s="359"/>
      <c r="AQ22" s="359"/>
      <c r="AR22" s="359"/>
      <c r="AS22" s="359"/>
      <c r="AT22" s="359"/>
      <c r="AU22" s="359"/>
      <c r="AV22" s="359"/>
      <c r="AW22" s="359"/>
      <c r="AX22" s="359"/>
      <c r="AY22" s="359"/>
      <c r="AZ22" s="359"/>
      <c r="BA22" s="359"/>
      <c r="BB22" s="18"/>
    </row>
    <row r="23" spans="1:54" x14ac:dyDescent="0.25">
      <c r="A23" s="348" t="s">
        <v>40</v>
      </c>
      <c r="B23" s="335"/>
      <c r="C23" s="336"/>
      <c r="D23" s="336"/>
      <c r="E23" s="189"/>
      <c r="F23" s="189"/>
      <c r="G23" s="189"/>
      <c r="H23" s="189"/>
      <c r="I23" s="189"/>
      <c r="J23" s="189"/>
      <c r="K23" s="189"/>
      <c r="L23" s="189"/>
      <c r="M23" s="189"/>
      <c r="N23" s="189"/>
      <c r="O23" s="189"/>
      <c r="P23" s="189"/>
      <c r="Q23" s="189"/>
      <c r="R23" s="189"/>
      <c r="S23" s="189"/>
      <c r="T23" s="189"/>
      <c r="U23" s="189"/>
      <c r="V23" s="189"/>
      <c r="W23" s="189"/>
      <c r="X23" s="189"/>
      <c r="Y23" s="189"/>
      <c r="Z23" s="189"/>
      <c r="AA23" s="189"/>
      <c r="AB23" s="189"/>
      <c r="AC23" s="189"/>
      <c r="AD23" s="189"/>
      <c r="AE23" s="189"/>
      <c r="AF23" s="189"/>
      <c r="AG23" s="189"/>
      <c r="AH23" s="189"/>
      <c r="AI23" s="189"/>
      <c r="AJ23" s="189"/>
      <c r="AK23" s="189"/>
      <c r="AL23" s="189"/>
      <c r="AM23" s="189"/>
      <c r="AN23" s="189"/>
      <c r="AO23" s="189"/>
      <c r="AP23" s="189"/>
      <c r="AQ23" s="189"/>
      <c r="AR23" s="189"/>
      <c r="AS23" s="189"/>
      <c r="AT23" s="189"/>
      <c r="AU23" s="189"/>
      <c r="AV23" s="189"/>
      <c r="AW23" s="189"/>
      <c r="AX23" s="189"/>
      <c r="AY23" s="189"/>
      <c r="AZ23" s="189"/>
      <c r="BA23" s="189"/>
    </row>
    <row r="24" spans="1:54" s="15" customFormat="1" ht="14.4" x14ac:dyDescent="0.3">
      <c r="A24" s="363" t="s">
        <v>41</v>
      </c>
      <c r="B24" s="411">
        <f>SUM(C24:XFD24)</f>
        <v>0</v>
      </c>
      <c r="C24" s="356"/>
      <c r="D24" s="409">
        <f>-IF(D$6&gt;'Global assumptions'!$D$7,0,'Costs (by site)'!$C$50*D8)</f>
        <v>0</v>
      </c>
      <c r="E24" s="409">
        <f>-IF(E$6&gt;'Global assumptions'!$D$7,0,'Costs (by site)'!$C$50*E8)</f>
        <v>0</v>
      </c>
      <c r="F24" s="409">
        <f>-IF(F$6&gt;'Global assumptions'!$D$7,0,'Costs (by site)'!$C$50*F8)</f>
        <v>0</v>
      </c>
      <c r="G24" s="409">
        <f>-IF(G$6&gt;'Global assumptions'!$D$7,0,'Costs (by site)'!$C$50*G8)</f>
        <v>0</v>
      </c>
      <c r="H24" s="409">
        <f>-IF(H$6&gt;'Global assumptions'!$D$7,0,'Costs (by site)'!$C$50*H8)</f>
        <v>0</v>
      </c>
      <c r="I24" s="409">
        <f>-IF(I$6&gt;'Global assumptions'!$D$7,0,'Costs (by site)'!$C$50*I8)</f>
        <v>0</v>
      </c>
      <c r="J24" s="409">
        <f>-IF(J$6&gt;'Global assumptions'!$D$7,0,'Costs (by site)'!$C$50*J8)</f>
        <v>0</v>
      </c>
      <c r="K24" s="409">
        <f>-IF(K$6&gt;'Global assumptions'!$D$7,0,'Costs (by site)'!$C$50*K8)</f>
        <v>0</v>
      </c>
      <c r="L24" s="409">
        <f>-IF(L$6&gt;'Global assumptions'!$D$7,0,'Costs (by site)'!$C$50*L8)</f>
        <v>0</v>
      </c>
      <c r="M24" s="409">
        <f>-IF(M$6&gt;'Global assumptions'!$D$7,0,'Costs (by site)'!$C$50*M8)</f>
        <v>0</v>
      </c>
      <c r="N24" s="409">
        <f>-IF(N$6&gt;'Global assumptions'!$D$7,0,'Costs (by site)'!$C$50*N8)</f>
        <v>0</v>
      </c>
      <c r="O24" s="409">
        <f>-IF(O$6&gt;'Global assumptions'!$D$7,0,'Costs (by site)'!$C$50*O8)</f>
        <v>0</v>
      </c>
      <c r="P24" s="409">
        <f>-IF(P$6&gt;'Global assumptions'!$D$7,0,'Costs (by site)'!$C$50*P8)</f>
        <v>0</v>
      </c>
      <c r="Q24" s="409">
        <f>-IF(Q$6&gt;'Global assumptions'!$D$7,0,'Costs (by site)'!$C$50*Q8)</f>
        <v>0</v>
      </c>
      <c r="R24" s="409">
        <f>-IF(R$6&gt;'Global assumptions'!$D$7,0,'Costs (by site)'!$C$50*R8)</f>
        <v>0</v>
      </c>
      <c r="S24" s="409">
        <f>-IF(S$6&gt;'Global assumptions'!$D$7,0,'Costs (by site)'!$C$50*S8)</f>
        <v>0</v>
      </c>
      <c r="T24" s="409">
        <f>-IF(T$6&gt;'Global assumptions'!$D$7,0,'Costs (by site)'!$C$50*T8)</f>
        <v>0</v>
      </c>
      <c r="U24" s="409">
        <f>-IF(U$6&gt;'Global assumptions'!$D$7,0,'Costs (by site)'!$C$50*U8)</f>
        <v>0</v>
      </c>
      <c r="V24" s="409">
        <f>-IF(V$6&gt;'Global assumptions'!$D$7,0,'Costs (by site)'!$C$50*V8)</f>
        <v>0</v>
      </c>
      <c r="W24" s="409">
        <f>-IF(W$6&gt;'Global assumptions'!$D$7,0,'Costs (by site)'!$C$50*W8)</f>
        <v>0</v>
      </c>
      <c r="X24" s="409">
        <f>-IF(X$6&gt;'Global assumptions'!$D$7,0,'Costs (by site)'!$C$50*X8)</f>
        <v>0</v>
      </c>
      <c r="Y24" s="409">
        <f>-IF(Y$6&gt;'Global assumptions'!$D$7,0,'Costs (by site)'!$C$50*Y8)</f>
        <v>0</v>
      </c>
      <c r="Z24" s="409">
        <f>-IF(Z$6&gt;'Global assumptions'!$D$7,0,'Costs (by site)'!$C$50*Z8)</f>
        <v>0</v>
      </c>
      <c r="AA24" s="409">
        <f>-IF(AA$6&gt;'Global assumptions'!$D$7,0,'Costs (by site)'!$C$50*AA8)</f>
        <v>0</v>
      </c>
      <c r="AB24" s="409">
        <f>-IF(AB$6&gt;'Global assumptions'!$D$7,0,'Costs (by site)'!$C$50*AB8)</f>
        <v>0</v>
      </c>
      <c r="AC24" s="409">
        <f>-IF(AC$6&gt;'Global assumptions'!$D$7,0,'Costs (by site)'!$C$50*AC8)</f>
        <v>0</v>
      </c>
      <c r="AD24" s="409">
        <f>-IF(AD$6&gt;'Global assumptions'!$D$7,0,'Costs (by site)'!$C$50*AD8)</f>
        <v>0</v>
      </c>
      <c r="AE24" s="409">
        <f>-IF(AE$6&gt;'Global assumptions'!$D$7,0,'Costs (by site)'!$C$50*AE8)</f>
        <v>0</v>
      </c>
      <c r="AF24" s="409">
        <f>-IF(AF$6&gt;'Global assumptions'!$D$7,0,'Costs (by site)'!$C$50*AF8)</f>
        <v>0</v>
      </c>
      <c r="AG24" s="409">
        <f>-IF(AG$6&gt;'Global assumptions'!$D$7,0,'Costs (by site)'!$C$50*AG8)</f>
        <v>0</v>
      </c>
      <c r="AH24" s="409">
        <f>-IF(AH$6&gt;'Global assumptions'!$D$7,0,'Costs (by site)'!$C$50*AH8)</f>
        <v>0</v>
      </c>
      <c r="AI24" s="409">
        <f>-IF(AI$6&gt;'Global assumptions'!$D$7,0,'Costs (by site)'!$C$50*AI8)</f>
        <v>0</v>
      </c>
      <c r="AJ24" s="409">
        <f>-IF(AJ$6&gt;'Global assumptions'!$D$7,0,'Costs (by site)'!$C$50*AJ8)</f>
        <v>0</v>
      </c>
      <c r="AK24" s="409">
        <f>-IF(AK$6&gt;'Global assumptions'!$D$7,0,'Costs (by site)'!$C$50*AK8)</f>
        <v>0</v>
      </c>
      <c r="AL24" s="409">
        <f>-IF(AL$6&gt;'Global assumptions'!$D$7,0,'Costs (by site)'!$C$50*AL8)</f>
        <v>0</v>
      </c>
      <c r="AM24" s="409">
        <f>-IF(AM$6&gt;'Global assumptions'!$D$7,0,'Costs (by site)'!$C$50*AM8)</f>
        <v>0</v>
      </c>
      <c r="AN24" s="409">
        <f>-IF(AN$6&gt;'Global assumptions'!$D$7,0,'Costs (by site)'!$C$50*AN8)</f>
        <v>0</v>
      </c>
      <c r="AO24" s="409">
        <f>-IF(AO$6&gt;'Global assumptions'!$D$7,0,'Costs (by site)'!$C$50*AO8)</f>
        <v>0</v>
      </c>
      <c r="AP24" s="409">
        <f>-IF(AP$6&gt;'Global assumptions'!$D$7,0,'Costs (by site)'!$C$50*AP8)</f>
        <v>0</v>
      </c>
      <c r="AQ24" s="409">
        <f>-IF(AQ$6&gt;'Global assumptions'!$D$7,0,'Costs (by site)'!$C$50*AQ8)</f>
        <v>0</v>
      </c>
      <c r="AR24" s="409">
        <f>-IF(AR$6&gt;'Global assumptions'!$D$7,0,'Costs (by site)'!$C$50*AR8)</f>
        <v>0</v>
      </c>
      <c r="AS24" s="409">
        <f>-IF(AS$6&gt;'Global assumptions'!$D$7,0,'Costs (by site)'!$C$50*AS8)</f>
        <v>0</v>
      </c>
      <c r="AT24" s="409">
        <f>-IF(AT$6&gt;'Global assumptions'!$D$7,0,'Costs (by site)'!$C$50*AT8)</f>
        <v>0</v>
      </c>
      <c r="AU24" s="409">
        <f>-IF(AU$6&gt;'Global assumptions'!$D$7,0,'Costs (by site)'!$C$50*AU8)</f>
        <v>0</v>
      </c>
      <c r="AV24" s="409">
        <f>-IF(AV$6&gt;'Global assumptions'!$D$7,0,'Costs (by site)'!$C$50*AV8)</f>
        <v>0</v>
      </c>
      <c r="AW24" s="409">
        <f>-IF(AW$6&gt;'Global assumptions'!$D$7,0,'Costs (by site)'!$C$50*AW8)</f>
        <v>0</v>
      </c>
      <c r="AX24" s="409">
        <f>-IF(AX$6&gt;'Global assumptions'!$D$7,0,'Costs (by site)'!$C$50*AX8)</f>
        <v>0</v>
      </c>
      <c r="AY24" s="409">
        <f>-IF(AY$6&gt;'Global assumptions'!$D$7,0,'Costs (by site)'!$C$50*AY8)</f>
        <v>0</v>
      </c>
      <c r="AZ24" s="409">
        <f>-IF(AZ$6&gt;'Global assumptions'!$D$7,0,'Costs (by site)'!$C$50*AZ8)</f>
        <v>0</v>
      </c>
      <c r="BA24" s="409">
        <f>-IF(BA$6&gt;'Global assumptions'!$D$7,0,'Costs (by site)'!$C$50*BA8)</f>
        <v>0</v>
      </c>
    </row>
    <row r="25" spans="1:54" s="65" customFormat="1" ht="14.4" x14ac:dyDescent="0.3">
      <c r="A25" s="365" t="s">
        <v>42</v>
      </c>
      <c r="B25" s="412">
        <f>SUM(C25:XFD25)</f>
        <v>0</v>
      </c>
      <c r="C25" s="367"/>
      <c r="D25" s="410">
        <f>-IF(D$6&gt;'Global assumptions'!$D$7,0,'Costs (by site)'!$C$34*D8)</f>
        <v>0</v>
      </c>
      <c r="E25" s="410">
        <f>-IF(E$6&gt;'Global assumptions'!$D$7,0,'Costs (by site)'!$C$34*E8)</f>
        <v>0</v>
      </c>
      <c r="F25" s="410">
        <f>-IF(F$6&gt;'Global assumptions'!$D$7,0,'Costs (by site)'!$C$34*F8)</f>
        <v>0</v>
      </c>
      <c r="G25" s="410">
        <f>-IF(G$6&gt;'Global assumptions'!$D$7,0,'Costs (by site)'!$C$34*G8)</f>
        <v>0</v>
      </c>
      <c r="H25" s="410">
        <f>-IF(H$6&gt;'Global assumptions'!$D$7,0,'Costs (by site)'!$C$34*H8)</f>
        <v>0</v>
      </c>
      <c r="I25" s="410">
        <f>-IF(I$6&gt;'Global assumptions'!$D$7,0,'Costs (by site)'!$C$34*I8)</f>
        <v>0</v>
      </c>
      <c r="J25" s="410">
        <f>-IF(J$6&gt;'Global assumptions'!$D$7,0,'Costs (by site)'!$C$34*J8)</f>
        <v>0</v>
      </c>
      <c r="K25" s="410">
        <f>-IF(K$6&gt;'Global assumptions'!$D$7,0,'Costs (by site)'!$C$34*K8)</f>
        <v>0</v>
      </c>
      <c r="L25" s="410">
        <f>-IF(L$6&gt;'Global assumptions'!$D$7,0,'Costs (by site)'!$C$34*L8)</f>
        <v>0</v>
      </c>
      <c r="M25" s="410">
        <f>-IF(M$6&gt;'Global assumptions'!$D$7,0,'Costs (by site)'!$C$34*M8)</f>
        <v>0</v>
      </c>
      <c r="N25" s="410">
        <f>-IF(N$6&gt;'Global assumptions'!$D$7,0,'Costs (by site)'!$C$34*N8)</f>
        <v>0</v>
      </c>
      <c r="O25" s="410">
        <f>-IF(O$6&gt;'Global assumptions'!$D$7,0,'Costs (by site)'!$C$34*O8)</f>
        <v>0</v>
      </c>
      <c r="P25" s="410">
        <f>-IF(P$6&gt;'Global assumptions'!$D$7,0,'Costs (by site)'!$C$34*P8)</f>
        <v>0</v>
      </c>
      <c r="Q25" s="410">
        <f>-IF(Q$6&gt;'Global assumptions'!$D$7,0,'Costs (by site)'!$C$34*Q8)</f>
        <v>0</v>
      </c>
      <c r="R25" s="410">
        <f>-IF(R$6&gt;'Global assumptions'!$D$7,0,'Costs (by site)'!$C$34*R8)</f>
        <v>0</v>
      </c>
      <c r="S25" s="410">
        <f>-IF(S$6&gt;'Global assumptions'!$D$7,0,'Costs (by site)'!$C$34*S8)</f>
        <v>0</v>
      </c>
      <c r="T25" s="410">
        <f>-IF(T$6&gt;'Global assumptions'!$D$7,0,'Costs (by site)'!$C$34*T8)</f>
        <v>0</v>
      </c>
      <c r="U25" s="410">
        <f>-IF(U$6&gt;'Global assumptions'!$D$7,0,'Costs (by site)'!$C$34*U8)</f>
        <v>0</v>
      </c>
      <c r="V25" s="410">
        <f>-IF(V$6&gt;'Global assumptions'!$D$7,0,'Costs (by site)'!$C$34*V8)</f>
        <v>0</v>
      </c>
      <c r="W25" s="410">
        <f>-IF(W$6&gt;'Global assumptions'!$D$7,0,'Costs (by site)'!$C$34*W8)</f>
        <v>0</v>
      </c>
      <c r="X25" s="410">
        <f>-IF(X$6&gt;'Global assumptions'!$D$7,0,'Costs (by site)'!$C$34*X8)</f>
        <v>0</v>
      </c>
      <c r="Y25" s="410">
        <f>-IF(Y$6&gt;'Global assumptions'!$D$7,0,'Costs (by site)'!$C$34*Y8)</f>
        <v>0</v>
      </c>
      <c r="Z25" s="410">
        <f>-IF(Z$6&gt;'Global assumptions'!$D$7,0,'Costs (by site)'!$C$34*Z8)</f>
        <v>0</v>
      </c>
      <c r="AA25" s="410">
        <f>-IF(AA$6&gt;'Global assumptions'!$D$7,0,'Costs (by site)'!$C$34*AA8)</f>
        <v>0</v>
      </c>
      <c r="AB25" s="410">
        <f>-IF(AB$6&gt;'Global assumptions'!$D$7,0,'Costs (by site)'!$C$34*AB8)</f>
        <v>0</v>
      </c>
      <c r="AC25" s="410">
        <f>-IF(AC$6&gt;'Global assumptions'!$D$7,0,'Costs (by site)'!$C$34*AC8)</f>
        <v>0</v>
      </c>
      <c r="AD25" s="410">
        <f>-IF(AD$6&gt;'Global assumptions'!$D$7,0,'Costs (by site)'!$C$34*AD8)</f>
        <v>0</v>
      </c>
      <c r="AE25" s="410">
        <f>-IF(AE$6&gt;'Global assumptions'!$D$7,0,'Costs (by site)'!$C$34*AE8)</f>
        <v>0</v>
      </c>
      <c r="AF25" s="410">
        <f>-IF(AF$6&gt;'Global assumptions'!$D$7,0,'Costs (by site)'!$C$34*AF8)</f>
        <v>0</v>
      </c>
      <c r="AG25" s="410">
        <f>-IF(AG$6&gt;'Global assumptions'!$D$7,0,'Costs (by site)'!$C$34*AG8)</f>
        <v>0</v>
      </c>
      <c r="AH25" s="410">
        <f>-IF(AH$6&gt;'Global assumptions'!$D$7,0,'Costs (by site)'!$C$34*AH8)</f>
        <v>0</v>
      </c>
      <c r="AI25" s="410">
        <f>-IF(AI$6&gt;'Global assumptions'!$D$7,0,'Costs (by site)'!$C$34*AI8)</f>
        <v>0</v>
      </c>
      <c r="AJ25" s="410">
        <f>-IF(AJ$6&gt;'Global assumptions'!$D$7,0,'Costs (by site)'!$C$34*AJ8)</f>
        <v>0</v>
      </c>
      <c r="AK25" s="410">
        <f>-IF(AK$6&gt;'Global assumptions'!$D$7,0,'Costs (by site)'!$C$34*AK8)</f>
        <v>0</v>
      </c>
      <c r="AL25" s="410">
        <f>-IF(AL$6&gt;'Global assumptions'!$D$7,0,'Costs (by site)'!$C$34*AL8)</f>
        <v>0</v>
      </c>
      <c r="AM25" s="410">
        <f>-IF(AM$6&gt;'Global assumptions'!$D$7,0,'Costs (by site)'!$C$34*AM8)</f>
        <v>0</v>
      </c>
      <c r="AN25" s="410">
        <f>-IF(AN$6&gt;'Global assumptions'!$D$7,0,'Costs (by site)'!$C$34*AN8)</f>
        <v>0</v>
      </c>
      <c r="AO25" s="410">
        <f>-IF(AO$6&gt;'Global assumptions'!$D$7,0,'Costs (by site)'!$C$34*AO8)</f>
        <v>0</v>
      </c>
      <c r="AP25" s="410">
        <f>-IF(AP$6&gt;'Global assumptions'!$D$7,0,'Costs (by site)'!$C$34*AP8)</f>
        <v>0</v>
      </c>
      <c r="AQ25" s="410">
        <f>-IF(AQ$6&gt;'Global assumptions'!$D$7,0,'Costs (by site)'!$C$34*AQ8)</f>
        <v>0</v>
      </c>
      <c r="AR25" s="410">
        <f>-IF(AR$6&gt;'Global assumptions'!$D$7,0,'Costs (by site)'!$C$34*AR8)</f>
        <v>0</v>
      </c>
      <c r="AS25" s="410">
        <f>-IF(AS$6&gt;'Global assumptions'!$D$7,0,'Costs (by site)'!$C$34*AS8)</f>
        <v>0</v>
      </c>
      <c r="AT25" s="410">
        <f>-IF(AT$6&gt;'Global assumptions'!$D$7,0,'Costs (by site)'!$C$34*AT8)</f>
        <v>0</v>
      </c>
      <c r="AU25" s="410">
        <f>-IF(AU$6&gt;'Global assumptions'!$D$7,0,'Costs (by site)'!$C$34*AU8)</f>
        <v>0</v>
      </c>
      <c r="AV25" s="410">
        <f>-IF(AV$6&gt;'Global assumptions'!$D$7,0,'Costs (by site)'!$C$34*AV8)</f>
        <v>0</v>
      </c>
      <c r="AW25" s="410">
        <f>-IF(AW$6&gt;'Global assumptions'!$D$7,0,'Costs (by site)'!$C$34*AW8)</f>
        <v>0</v>
      </c>
      <c r="AX25" s="410">
        <f>-IF(AX$6&gt;'Global assumptions'!$D$7,0,'Costs (by site)'!$C$34*AX8)</f>
        <v>0</v>
      </c>
      <c r="AY25" s="410">
        <f>-IF(AY$6&gt;'Global assumptions'!$D$7,0,'Costs (by site)'!$C$34*AY8)</f>
        <v>0</v>
      </c>
      <c r="AZ25" s="410">
        <f>-IF(AZ$6&gt;'Global assumptions'!$D$7,0,'Costs (by site)'!$C$34*AZ8)</f>
        <v>0</v>
      </c>
      <c r="BA25" s="410">
        <f>-IF(BA$6&gt;'Global assumptions'!$D$7,0,'Costs (by site)'!$C$34*BA8)</f>
        <v>0</v>
      </c>
    </row>
    <row r="26" spans="1:54" s="65" customFormat="1" ht="14.4" x14ac:dyDescent="0.3">
      <c r="A26" s="365" t="s">
        <v>334</v>
      </c>
      <c r="B26" s="366"/>
      <c r="C26" s="369"/>
      <c r="D26" s="370" t="s">
        <v>338</v>
      </c>
      <c r="E26" s="368"/>
      <c r="F26" s="368"/>
      <c r="G26" s="368"/>
      <c r="H26" s="368"/>
      <c r="I26" s="368"/>
      <c r="J26" s="368"/>
      <c r="K26" s="368"/>
      <c r="L26" s="368"/>
      <c r="M26" s="368"/>
      <c r="N26" s="368"/>
      <c r="O26" s="368"/>
      <c r="P26" s="368"/>
      <c r="Q26" s="368"/>
      <c r="R26" s="368"/>
      <c r="S26" s="368"/>
      <c r="T26" s="368"/>
      <c r="U26" s="368"/>
      <c r="V26" s="368"/>
      <c r="W26" s="368"/>
      <c r="X26" s="368"/>
      <c r="Y26" s="368"/>
      <c r="Z26" s="368"/>
      <c r="AA26" s="368"/>
      <c r="AB26" s="368"/>
      <c r="AC26" s="368"/>
      <c r="AD26" s="368"/>
      <c r="AE26" s="368"/>
      <c r="AF26" s="368"/>
      <c r="AG26" s="368"/>
      <c r="AH26" s="368"/>
      <c r="AI26" s="368"/>
      <c r="AJ26" s="368"/>
      <c r="AK26" s="368"/>
      <c r="AL26" s="368"/>
      <c r="AM26" s="368"/>
      <c r="AN26" s="368"/>
      <c r="AO26" s="368"/>
      <c r="AP26" s="368"/>
      <c r="AQ26" s="368"/>
      <c r="AR26" s="368"/>
      <c r="AS26" s="368"/>
      <c r="AT26" s="368"/>
      <c r="AU26" s="368"/>
      <c r="AV26" s="368"/>
      <c r="AW26" s="368"/>
      <c r="AX26" s="368"/>
      <c r="AY26" s="368"/>
      <c r="AZ26" s="368"/>
      <c r="BA26" s="368"/>
    </row>
    <row r="27" spans="1:54" s="10" customFormat="1" ht="14.4" x14ac:dyDescent="0.3">
      <c r="A27" s="371" t="s">
        <v>335</v>
      </c>
      <c r="B27" s="372"/>
      <c r="C27" s="373"/>
      <c r="D27" s="374" t="s">
        <v>64</v>
      </c>
      <c r="E27" s="375"/>
      <c r="F27" s="375"/>
      <c r="G27" s="375"/>
      <c r="H27" s="375"/>
      <c r="I27" s="375"/>
      <c r="J27" s="375"/>
      <c r="K27" s="375"/>
      <c r="L27" s="375"/>
      <c r="M27" s="375"/>
      <c r="N27" s="375"/>
      <c r="O27" s="375"/>
      <c r="P27" s="375"/>
      <c r="Q27" s="375"/>
      <c r="R27" s="375"/>
      <c r="S27" s="375"/>
      <c r="T27" s="375"/>
      <c r="U27" s="375"/>
      <c r="V27" s="375"/>
      <c r="W27" s="375"/>
      <c r="X27" s="375"/>
      <c r="Y27" s="375"/>
      <c r="Z27" s="375"/>
      <c r="AA27" s="375"/>
      <c r="AB27" s="375"/>
      <c r="AC27" s="375"/>
      <c r="AD27" s="375"/>
      <c r="AE27" s="375"/>
      <c r="AF27" s="375"/>
      <c r="AG27" s="375"/>
      <c r="AH27" s="375"/>
      <c r="AI27" s="375"/>
      <c r="AJ27" s="375"/>
      <c r="AK27" s="375"/>
      <c r="AL27" s="375"/>
      <c r="AM27" s="375"/>
      <c r="AN27" s="375"/>
      <c r="AO27" s="375"/>
      <c r="AP27" s="375"/>
      <c r="AQ27" s="375"/>
      <c r="AR27" s="375"/>
      <c r="AS27" s="375"/>
      <c r="AT27" s="375"/>
      <c r="AU27" s="375"/>
      <c r="AV27" s="375"/>
      <c r="AW27" s="375"/>
      <c r="AX27" s="375"/>
      <c r="AY27" s="375"/>
      <c r="AZ27" s="375"/>
      <c r="BA27" s="375"/>
    </row>
    <row r="28" spans="1:54" x14ac:dyDescent="0.25">
      <c r="A28" s="189"/>
      <c r="B28" s="189"/>
      <c r="C28" s="189"/>
      <c r="D28" s="189"/>
      <c r="E28" s="189"/>
      <c r="F28" s="189"/>
      <c r="G28" s="189"/>
      <c r="H28" s="189"/>
      <c r="I28" s="189"/>
      <c r="J28" s="189"/>
      <c r="K28" s="189"/>
      <c r="L28" s="189"/>
      <c r="M28" s="189"/>
      <c r="N28" s="189"/>
      <c r="O28" s="189"/>
      <c r="P28" s="189"/>
      <c r="Q28" s="189"/>
      <c r="R28" s="189"/>
      <c r="S28" s="189"/>
      <c r="T28" s="189"/>
      <c r="U28" s="189"/>
      <c r="V28" s="189"/>
      <c r="W28" s="189"/>
      <c r="X28" s="189"/>
      <c r="Y28" s="189"/>
      <c r="Z28" s="189"/>
      <c r="AA28" s="189"/>
      <c r="AB28" s="189"/>
      <c r="AC28" s="189"/>
      <c r="AD28" s="189"/>
      <c r="AE28" s="189"/>
      <c r="AF28" s="189"/>
      <c r="AG28" s="189"/>
      <c r="AH28" s="189"/>
      <c r="AI28" s="189"/>
      <c r="AJ28" s="189"/>
      <c r="AK28" s="189"/>
      <c r="AL28" s="189"/>
      <c r="AM28" s="189"/>
      <c r="AN28" s="189"/>
      <c r="AO28" s="189"/>
      <c r="AP28" s="189"/>
      <c r="AQ28" s="189"/>
      <c r="AR28" s="189"/>
      <c r="AS28" s="189"/>
      <c r="AT28" s="189"/>
      <c r="AU28" s="189"/>
      <c r="AV28" s="189"/>
      <c r="AW28" s="189"/>
      <c r="AX28" s="189"/>
      <c r="AY28" s="189"/>
      <c r="AZ28" s="189"/>
      <c r="BA28" s="189"/>
    </row>
    <row r="29" spans="1:54" s="6" customFormat="1" ht="14.4" x14ac:dyDescent="0.3">
      <c r="A29" s="376" t="s">
        <v>43</v>
      </c>
      <c r="B29" s="377"/>
      <c r="C29" s="368"/>
      <c r="D29" s="359"/>
      <c r="E29" s="359"/>
      <c r="F29" s="359"/>
      <c r="G29" s="359"/>
      <c r="H29" s="359"/>
      <c r="I29" s="359"/>
      <c r="J29" s="359"/>
      <c r="K29" s="359"/>
      <c r="L29" s="359"/>
      <c r="M29" s="359"/>
      <c r="N29" s="359"/>
      <c r="O29" s="359"/>
      <c r="P29" s="359"/>
      <c r="Q29" s="359"/>
      <c r="R29" s="359"/>
      <c r="S29" s="359"/>
      <c r="T29" s="359"/>
      <c r="U29" s="359"/>
      <c r="V29" s="359"/>
      <c r="W29" s="359"/>
      <c r="X29" s="359"/>
      <c r="Y29" s="359"/>
      <c r="Z29" s="359"/>
      <c r="AA29" s="359"/>
      <c r="AB29" s="359"/>
      <c r="AC29" s="359"/>
      <c r="AD29" s="359"/>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18"/>
    </row>
    <row r="30" spans="1:54" s="15" customFormat="1" ht="14.4" x14ac:dyDescent="0.3">
      <c r="A30" s="363" t="s">
        <v>44</v>
      </c>
      <c r="B30" s="413">
        <f>SUM(B19:B27)</f>
        <v>0</v>
      </c>
      <c r="C30" s="364"/>
      <c r="D30" s="405">
        <f t="shared" ref="D30:AI30" si="2">SUM(D19:D27)</f>
        <v>0</v>
      </c>
      <c r="E30" s="405">
        <f t="shared" si="2"/>
        <v>0</v>
      </c>
      <c r="F30" s="405">
        <f t="shared" si="2"/>
        <v>0</v>
      </c>
      <c r="G30" s="405">
        <f t="shared" si="2"/>
        <v>0</v>
      </c>
      <c r="H30" s="405">
        <f t="shared" si="2"/>
        <v>0</v>
      </c>
      <c r="I30" s="405">
        <f t="shared" si="2"/>
        <v>0</v>
      </c>
      <c r="J30" s="405">
        <f t="shared" si="2"/>
        <v>0</v>
      </c>
      <c r="K30" s="405">
        <f t="shared" si="2"/>
        <v>0</v>
      </c>
      <c r="L30" s="405">
        <f t="shared" si="2"/>
        <v>0</v>
      </c>
      <c r="M30" s="405">
        <f t="shared" si="2"/>
        <v>0</v>
      </c>
      <c r="N30" s="405">
        <f t="shared" si="2"/>
        <v>0</v>
      </c>
      <c r="O30" s="405">
        <f t="shared" si="2"/>
        <v>0</v>
      </c>
      <c r="P30" s="405">
        <f t="shared" si="2"/>
        <v>0</v>
      </c>
      <c r="Q30" s="405">
        <f t="shared" si="2"/>
        <v>0</v>
      </c>
      <c r="R30" s="405">
        <f t="shared" si="2"/>
        <v>0</v>
      </c>
      <c r="S30" s="405">
        <f t="shared" si="2"/>
        <v>0</v>
      </c>
      <c r="T30" s="405">
        <f t="shared" si="2"/>
        <v>0</v>
      </c>
      <c r="U30" s="405">
        <f t="shared" si="2"/>
        <v>0</v>
      </c>
      <c r="V30" s="405">
        <f t="shared" si="2"/>
        <v>0</v>
      </c>
      <c r="W30" s="405">
        <f t="shared" si="2"/>
        <v>0</v>
      </c>
      <c r="X30" s="405">
        <f t="shared" si="2"/>
        <v>0</v>
      </c>
      <c r="Y30" s="405">
        <f t="shared" si="2"/>
        <v>0</v>
      </c>
      <c r="Z30" s="405">
        <f t="shared" si="2"/>
        <v>0</v>
      </c>
      <c r="AA30" s="405">
        <f t="shared" si="2"/>
        <v>0</v>
      </c>
      <c r="AB30" s="405">
        <f t="shared" si="2"/>
        <v>0</v>
      </c>
      <c r="AC30" s="405">
        <f t="shared" si="2"/>
        <v>0</v>
      </c>
      <c r="AD30" s="405">
        <f t="shared" si="2"/>
        <v>0</v>
      </c>
      <c r="AE30" s="405">
        <f t="shared" si="2"/>
        <v>0</v>
      </c>
      <c r="AF30" s="405">
        <f t="shared" si="2"/>
        <v>0</v>
      </c>
      <c r="AG30" s="405">
        <f t="shared" si="2"/>
        <v>0</v>
      </c>
      <c r="AH30" s="405">
        <f t="shared" si="2"/>
        <v>0</v>
      </c>
      <c r="AI30" s="405">
        <f t="shared" si="2"/>
        <v>0</v>
      </c>
      <c r="AJ30" s="405">
        <f t="shared" ref="AJ30:BA30" si="3">SUM(AJ19:AJ27)</f>
        <v>0</v>
      </c>
      <c r="AK30" s="405">
        <f t="shared" si="3"/>
        <v>0</v>
      </c>
      <c r="AL30" s="405">
        <f t="shared" si="3"/>
        <v>0</v>
      </c>
      <c r="AM30" s="405">
        <f t="shared" si="3"/>
        <v>0</v>
      </c>
      <c r="AN30" s="405">
        <f t="shared" si="3"/>
        <v>0</v>
      </c>
      <c r="AO30" s="405">
        <f t="shared" si="3"/>
        <v>0</v>
      </c>
      <c r="AP30" s="405">
        <f t="shared" si="3"/>
        <v>0</v>
      </c>
      <c r="AQ30" s="405">
        <f t="shared" si="3"/>
        <v>0</v>
      </c>
      <c r="AR30" s="405">
        <f t="shared" si="3"/>
        <v>0</v>
      </c>
      <c r="AS30" s="405">
        <f t="shared" si="3"/>
        <v>0</v>
      </c>
      <c r="AT30" s="405">
        <f t="shared" si="3"/>
        <v>0</v>
      </c>
      <c r="AU30" s="405">
        <f t="shared" si="3"/>
        <v>0</v>
      </c>
      <c r="AV30" s="405">
        <f t="shared" si="3"/>
        <v>0</v>
      </c>
      <c r="AW30" s="405">
        <f t="shared" si="3"/>
        <v>0</v>
      </c>
      <c r="AX30" s="405">
        <f t="shared" si="3"/>
        <v>0</v>
      </c>
      <c r="AY30" s="405">
        <f t="shared" si="3"/>
        <v>0</v>
      </c>
      <c r="AZ30" s="405">
        <f t="shared" si="3"/>
        <v>0</v>
      </c>
      <c r="BA30" s="405">
        <f t="shared" si="3"/>
        <v>0</v>
      </c>
      <c r="BB30" s="41"/>
    </row>
    <row r="31" spans="1:54" s="6" customFormat="1" ht="14.4" x14ac:dyDescent="0.3">
      <c r="A31" s="365" t="s">
        <v>245</v>
      </c>
      <c r="B31" s="414">
        <f>SUM(C31:XFD31)</f>
        <v>0</v>
      </c>
      <c r="C31" s="410">
        <f>'Costs (by site)'!C17*-1</f>
        <v>0</v>
      </c>
      <c r="D31" s="359"/>
      <c r="E31" s="359"/>
      <c r="F31" s="359"/>
      <c r="G31" s="359"/>
      <c r="H31" s="359"/>
      <c r="I31" s="359"/>
      <c r="J31" s="359"/>
      <c r="K31" s="359"/>
      <c r="L31" s="359"/>
      <c r="M31" s="359"/>
      <c r="N31" s="359"/>
      <c r="O31" s="359"/>
      <c r="P31" s="359"/>
      <c r="Q31" s="359"/>
      <c r="R31" s="359"/>
      <c r="S31" s="359"/>
      <c r="T31" s="359"/>
      <c r="U31" s="359"/>
      <c r="V31" s="359"/>
      <c r="W31" s="359"/>
      <c r="X31" s="359"/>
      <c r="Y31" s="359"/>
      <c r="Z31" s="359"/>
      <c r="AA31" s="359"/>
      <c r="AB31" s="359"/>
      <c r="AC31" s="359"/>
      <c r="AD31" s="359"/>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row>
    <row r="32" spans="1:54" s="6" customFormat="1" ht="14.4" x14ac:dyDescent="0.3">
      <c r="A32" s="365" t="s">
        <v>45</v>
      </c>
      <c r="B32" s="414">
        <f>SUM(C32:XFD32)</f>
        <v>0</v>
      </c>
      <c r="C32" s="410">
        <f>'Costs (by site)'!C20+'Costs (by site)'!C21</f>
        <v>0</v>
      </c>
      <c r="D32" s="359"/>
      <c r="E32" s="359"/>
      <c r="F32" s="359"/>
      <c r="G32" s="359"/>
      <c r="H32" s="359"/>
      <c r="I32" s="359"/>
      <c r="J32" s="359"/>
      <c r="K32" s="359"/>
      <c r="L32" s="359"/>
      <c r="M32" s="359"/>
      <c r="N32" s="359"/>
      <c r="O32" s="359"/>
      <c r="P32" s="359"/>
      <c r="Q32" s="359"/>
      <c r="R32" s="359"/>
      <c r="S32" s="359"/>
      <c r="T32" s="359"/>
      <c r="U32" s="359"/>
      <c r="V32" s="359"/>
      <c r="W32" s="359"/>
      <c r="X32" s="359"/>
      <c r="Y32" s="359"/>
      <c r="Z32" s="359"/>
      <c r="AA32" s="359"/>
      <c r="AB32" s="359"/>
      <c r="AC32" s="359"/>
      <c r="AD32" s="359"/>
      <c r="AE32" s="359"/>
      <c r="AF32" s="359"/>
      <c r="AG32" s="359"/>
      <c r="AH32" s="359"/>
      <c r="AI32" s="359"/>
      <c r="AJ32" s="359"/>
      <c r="AK32" s="359"/>
      <c r="AL32" s="359"/>
      <c r="AM32" s="359"/>
      <c r="AN32" s="359"/>
      <c r="AO32" s="359"/>
      <c r="AP32" s="359"/>
      <c r="AQ32" s="359"/>
      <c r="AR32" s="359"/>
      <c r="AS32" s="359"/>
      <c r="AT32" s="359"/>
      <c r="AU32" s="359"/>
      <c r="AV32" s="359"/>
      <c r="AW32" s="359"/>
      <c r="AX32" s="359"/>
      <c r="AY32" s="359"/>
      <c r="AZ32" s="359"/>
      <c r="BA32" s="359"/>
    </row>
    <row r="33" spans="1:54" s="6" customFormat="1" ht="14.4" x14ac:dyDescent="0.3">
      <c r="A33" s="365" t="s">
        <v>46</v>
      </c>
      <c r="B33" s="357"/>
      <c r="C33" s="410">
        <f t="shared" ref="C33:AH33" si="4">SUM(C30:C32)</f>
        <v>0</v>
      </c>
      <c r="D33" s="410">
        <f t="shared" si="4"/>
        <v>0</v>
      </c>
      <c r="E33" s="410">
        <f t="shared" si="4"/>
        <v>0</v>
      </c>
      <c r="F33" s="410">
        <f t="shared" si="4"/>
        <v>0</v>
      </c>
      <c r="G33" s="410">
        <f t="shared" si="4"/>
        <v>0</v>
      </c>
      <c r="H33" s="410">
        <f t="shared" si="4"/>
        <v>0</v>
      </c>
      <c r="I33" s="410">
        <f t="shared" si="4"/>
        <v>0</v>
      </c>
      <c r="J33" s="410">
        <f t="shared" si="4"/>
        <v>0</v>
      </c>
      <c r="K33" s="410">
        <f t="shared" si="4"/>
        <v>0</v>
      </c>
      <c r="L33" s="410">
        <f t="shared" si="4"/>
        <v>0</v>
      </c>
      <c r="M33" s="410">
        <f t="shared" si="4"/>
        <v>0</v>
      </c>
      <c r="N33" s="410">
        <f t="shared" si="4"/>
        <v>0</v>
      </c>
      <c r="O33" s="410">
        <f t="shared" si="4"/>
        <v>0</v>
      </c>
      <c r="P33" s="410">
        <f t="shared" si="4"/>
        <v>0</v>
      </c>
      <c r="Q33" s="410">
        <f t="shared" si="4"/>
        <v>0</v>
      </c>
      <c r="R33" s="410">
        <f t="shared" si="4"/>
        <v>0</v>
      </c>
      <c r="S33" s="410">
        <f t="shared" si="4"/>
        <v>0</v>
      </c>
      <c r="T33" s="410">
        <f t="shared" si="4"/>
        <v>0</v>
      </c>
      <c r="U33" s="410">
        <f t="shared" si="4"/>
        <v>0</v>
      </c>
      <c r="V33" s="410">
        <f t="shared" si="4"/>
        <v>0</v>
      </c>
      <c r="W33" s="410">
        <f t="shared" si="4"/>
        <v>0</v>
      </c>
      <c r="X33" s="410">
        <f t="shared" si="4"/>
        <v>0</v>
      </c>
      <c r="Y33" s="410">
        <f t="shared" si="4"/>
        <v>0</v>
      </c>
      <c r="Z33" s="410">
        <f t="shared" si="4"/>
        <v>0</v>
      </c>
      <c r="AA33" s="410">
        <f t="shared" si="4"/>
        <v>0</v>
      </c>
      <c r="AB33" s="410">
        <f t="shared" si="4"/>
        <v>0</v>
      </c>
      <c r="AC33" s="410">
        <f t="shared" si="4"/>
        <v>0</v>
      </c>
      <c r="AD33" s="410">
        <f t="shared" si="4"/>
        <v>0</v>
      </c>
      <c r="AE33" s="410">
        <f t="shared" si="4"/>
        <v>0</v>
      </c>
      <c r="AF33" s="410">
        <f t="shared" si="4"/>
        <v>0</v>
      </c>
      <c r="AG33" s="410">
        <f t="shared" si="4"/>
        <v>0</v>
      </c>
      <c r="AH33" s="410">
        <f t="shared" si="4"/>
        <v>0</v>
      </c>
      <c r="AI33" s="410">
        <f t="shared" ref="AI33:BA33" si="5">SUM(AI30:AI32)</f>
        <v>0</v>
      </c>
      <c r="AJ33" s="410">
        <f t="shared" si="5"/>
        <v>0</v>
      </c>
      <c r="AK33" s="410">
        <f t="shared" si="5"/>
        <v>0</v>
      </c>
      <c r="AL33" s="410">
        <f t="shared" si="5"/>
        <v>0</v>
      </c>
      <c r="AM33" s="410">
        <f t="shared" si="5"/>
        <v>0</v>
      </c>
      <c r="AN33" s="410">
        <f t="shared" si="5"/>
        <v>0</v>
      </c>
      <c r="AO33" s="410">
        <f t="shared" si="5"/>
        <v>0</v>
      </c>
      <c r="AP33" s="410">
        <f t="shared" si="5"/>
        <v>0</v>
      </c>
      <c r="AQ33" s="410">
        <f t="shared" si="5"/>
        <v>0</v>
      </c>
      <c r="AR33" s="410">
        <f t="shared" si="5"/>
        <v>0</v>
      </c>
      <c r="AS33" s="410">
        <f t="shared" si="5"/>
        <v>0</v>
      </c>
      <c r="AT33" s="410">
        <f t="shared" si="5"/>
        <v>0</v>
      </c>
      <c r="AU33" s="410">
        <f t="shared" si="5"/>
        <v>0</v>
      </c>
      <c r="AV33" s="410">
        <f t="shared" si="5"/>
        <v>0</v>
      </c>
      <c r="AW33" s="410">
        <f t="shared" si="5"/>
        <v>0</v>
      </c>
      <c r="AX33" s="410">
        <f t="shared" si="5"/>
        <v>0</v>
      </c>
      <c r="AY33" s="410">
        <f t="shared" si="5"/>
        <v>0</v>
      </c>
      <c r="AZ33" s="410">
        <f t="shared" si="5"/>
        <v>0</v>
      </c>
      <c r="BA33" s="410">
        <f t="shared" si="5"/>
        <v>0</v>
      </c>
      <c r="BB33" s="18"/>
    </row>
    <row r="34" spans="1:54" s="15" customFormat="1" ht="14.4" x14ac:dyDescent="0.3">
      <c r="A34" s="363" t="s">
        <v>47</v>
      </c>
      <c r="B34" s="404">
        <f>SUM(C34:BA34)</f>
        <v>0</v>
      </c>
      <c r="C34" s="409">
        <f>'Costs (by site)'!C24</f>
        <v>0</v>
      </c>
      <c r="D34" s="409"/>
      <c r="E34" s="409"/>
      <c r="F34" s="409"/>
      <c r="G34" s="409"/>
      <c r="H34" s="409"/>
      <c r="I34" s="409"/>
      <c r="J34" s="409"/>
      <c r="K34" s="409"/>
      <c r="L34" s="409"/>
      <c r="M34" s="409"/>
      <c r="N34" s="409"/>
      <c r="O34" s="409"/>
      <c r="P34" s="409"/>
      <c r="Q34" s="409"/>
      <c r="R34" s="409"/>
      <c r="S34" s="409"/>
      <c r="T34" s="409"/>
      <c r="U34" s="409"/>
      <c r="V34" s="409"/>
      <c r="W34" s="409"/>
      <c r="X34" s="409"/>
      <c r="Y34" s="409"/>
      <c r="Z34" s="409"/>
      <c r="AA34" s="409"/>
      <c r="AB34" s="409"/>
      <c r="AC34" s="409"/>
      <c r="AD34" s="409"/>
      <c r="AE34" s="409"/>
      <c r="AF34" s="409"/>
      <c r="AG34" s="409"/>
      <c r="AH34" s="409"/>
      <c r="AI34" s="409"/>
      <c r="AJ34" s="409"/>
      <c r="AK34" s="409"/>
      <c r="AL34" s="409"/>
      <c r="AM34" s="409"/>
      <c r="AN34" s="409"/>
      <c r="AO34" s="409"/>
      <c r="AP34" s="409"/>
      <c r="AQ34" s="409"/>
      <c r="AR34" s="409"/>
      <c r="AS34" s="409"/>
      <c r="AT34" s="409"/>
      <c r="AU34" s="409"/>
      <c r="AV34" s="409"/>
      <c r="AW34" s="409"/>
      <c r="AX34" s="409"/>
      <c r="AY34" s="409"/>
      <c r="AZ34" s="409"/>
      <c r="BA34" s="409"/>
      <c r="BB34" s="41"/>
    </row>
    <row r="35" spans="1:54" s="6" customFormat="1" ht="14.4" x14ac:dyDescent="0.3">
      <c r="A35" s="365" t="s">
        <v>48</v>
      </c>
      <c r="B35" s="414">
        <f>SUM(D35:BA35)</f>
        <v>0</v>
      </c>
      <c r="C35" s="410">
        <f>'Loan Rates'!J10</f>
        <v>0</v>
      </c>
      <c r="D35" s="406">
        <f>'Loan Rates'!K10</f>
        <v>0</v>
      </c>
      <c r="E35" s="406">
        <f>'Loan Rates'!L10</f>
        <v>0</v>
      </c>
      <c r="F35" s="406">
        <f>'Loan Rates'!M10</f>
        <v>0</v>
      </c>
      <c r="G35" s="406">
        <f>'Loan Rates'!N10</f>
        <v>0</v>
      </c>
      <c r="H35" s="406">
        <f>'Loan Rates'!O10</f>
        <v>0</v>
      </c>
      <c r="I35" s="406">
        <f>'Loan Rates'!P10</f>
        <v>0</v>
      </c>
      <c r="J35" s="406">
        <f>'Loan Rates'!Q10</f>
        <v>0</v>
      </c>
      <c r="K35" s="406">
        <f>'Loan Rates'!R10</f>
        <v>0</v>
      </c>
      <c r="L35" s="406">
        <f>'Loan Rates'!S10</f>
        <v>0</v>
      </c>
      <c r="M35" s="406">
        <f>'Loan Rates'!T10</f>
        <v>0</v>
      </c>
      <c r="N35" s="406">
        <f>'Loan Rates'!U10</f>
        <v>0</v>
      </c>
      <c r="O35" s="406">
        <f>'Loan Rates'!V10</f>
        <v>0</v>
      </c>
      <c r="P35" s="406">
        <f>'Loan Rates'!W10</f>
        <v>0</v>
      </c>
      <c r="Q35" s="406">
        <f>'Loan Rates'!X10</f>
        <v>0</v>
      </c>
      <c r="R35" s="406">
        <f>'Loan Rates'!Y10</f>
        <v>0</v>
      </c>
      <c r="S35" s="406">
        <f>'Loan Rates'!Z10</f>
        <v>0</v>
      </c>
      <c r="T35" s="406">
        <f>'Loan Rates'!AA10</f>
        <v>0</v>
      </c>
      <c r="U35" s="406">
        <f>'Loan Rates'!AB10</f>
        <v>0</v>
      </c>
      <c r="V35" s="406">
        <f>'Loan Rates'!AC10</f>
        <v>0</v>
      </c>
      <c r="W35" s="406">
        <f>'Loan Rates'!AD10</f>
        <v>0</v>
      </c>
      <c r="X35" s="406">
        <f>'Loan Rates'!AE10</f>
        <v>0</v>
      </c>
      <c r="Y35" s="406">
        <f>'Loan Rates'!AF10</f>
        <v>0</v>
      </c>
      <c r="Z35" s="406">
        <f>'Loan Rates'!AG10</f>
        <v>0</v>
      </c>
      <c r="AA35" s="406">
        <f>'Loan Rates'!AH10</f>
        <v>0</v>
      </c>
      <c r="AB35" s="406">
        <f>'Loan Rates'!AI10</f>
        <v>0</v>
      </c>
      <c r="AC35" s="406">
        <f>'Loan Rates'!AJ10</f>
        <v>0</v>
      </c>
      <c r="AD35" s="406">
        <f>'Loan Rates'!AK10</f>
        <v>0</v>
      </c>
      <c r="AE35" s="406">
        <f>'Loan Rates'!AL10</f>
        <v>0</v>
      </c>
      <c r="AF35" s="406">
        <f>'Loan Rates'!AM10</f>
        <v>0</v>
      </c>
      <c r="AG35" s="406">
        <f>'Loan Rates'!AN10</f>
        <v>0</v>
      </c>
      <c r="AH35" s="406">
        <f>'Loan Rates'!AO10</f>
        <v>0</v>
      </c>
      <c r="AI35" s="406">
        <f>'Loan Rates'!AP10</f>
        <v>0</v>
      </c>
      <c r="AJ35" s="406">
        <f>'Loan Rates'!AQ10</f>
        <v>0</v>
      </c>
      <c r="AK35" s="406">
        <f>'Loan Rates'!AR10</f>
        <v>0</v>
      </c>
      <c r="AL35" s="406">
        <f>'Loan Rates'!AS10</f>
        <v>0</v>
      </c>
      <c r="AM35" s="406">
        <f>'Loan Rates'!AT10</f>
        <v>0</v>
      </c>
      <c r="AN35" s="406">
        <f>'Loan Rates'!AU10</f>
        <v>0</v>
      </c>
      <c r="AO35" s="406">
        <f>'Loan Rates'!AV10</f>
        <v>0</v>
      </c>
      <c r="AP35" s="406">
        <f>'Loan Rates'!AW10</f>
        <v>0</v>
      </c>
      <c r="AQ35" s="406">
        <f>'Loan Rates'!AX10</f>
        <v>0</v>
      </c>
      <c r="AR35" s="406">
        <f>'Loan Rates'!AY10</f>
        <v>0</v>
      </c>
      <c r="AS35" s="406">
        <f>'Loan Rates'!AZ10</f>
        <v>0</v>
      </c>
      <c r="AT35" s="406">
        <f>'Loan Rates'!BA10</f>
        <v>0</v>
      </c>
      <c r="AU35" s="406">
        <f>'Loan Rates'!BB10</f>
        <v>0</v>
      </c>
      <c r="AV35" s="406">
        <f>'Loan Rates'!BC10</f>
        <v>0</v>
      </c>
      <c r="AW35" s="406">
        <f>'Loan Rates'!BD10</f>
        <v>0</v>
      </c>
      <c r="AX35" s="406">
        <f>'Loan Rates'!BE10</f>
        <v>0</v>
      </c>
      <c r="AY35" s="406">
        <f>'Loan Rates'!BF10</f>
        <v>0</v>
      </c>
      <c r="AZ35" s="406">
        <f>'Loan Rates'!BG10</f>
        <v>0</v>
      </c>
      <c r="BA35" s="406">
        <f>'Loan Rates'!BH10</f>
        <v>0</v>
      </c>
      <c r="BB35" s="18"/>
    </row>
    <row r="36" spans="1:54" s="591" customFormat="1" x14ac:dyDescent="0.25">
      <c r="A36" s="588" t="s">
        <v>49</v>
      </c>
      <c r="B36" s="589"/>
      <c r="C36" s="590" t="str">
        <f t="shared" ref="C36:AH36" si="6">IFERROR(-C33/C35,"")</f>
        <v/>
      </c>
      <c r="D36" s="590" t="str">
        <f t="shared" si="6"/>
        <v/>
      </c>
      <c r="E36" s="590" t="str">
        <f t="shared" si="6"/>
        <v/>
      </c>
      <c r="F36" s="590" t="str">
        <f t="shared" si="6"/>
        <v/>
      </c>
      <c r="G36" s="590" t="str">
        <f t="shared" si="6"/>
        <v/>
      </c>
      <c r="H36" s="590" t="str">
        <f t="shared" si="6"/>
        <v/>
      </c>
      <c r="I36" s="590" t="str">
        <f t="shared" si="6"/>
        <v/>
      </c>
      <c r="J36" s="590" t="str">
        <f t="shared" si="6"/>
        <v/>
      </c>
      <c r="K36" s="590" t="str">
        <f t="shared" si="6"/>
        <v/>
      </c>
      <c r="L36" s="590" t="str">
        <f t="shared" si="6"/>
        <v/>
      </c>
      <c r="M36" s="590" t="str">
        <f t="shared" si="6"/>
        <v/>
      </c>
      <c r="N36" s="590" t="str">
        <f t="shared" si="6"/>
        <v/>
      </c>
      <c r="O36" s="590" t="str">
        <f t="shared" si="6"/>
        <v/>
      </c>
      <c r="P36" s="590" t="str">
        <f t="shared" si="6"/>
        <v/>
      </c>
      <c r="Q36" s="590" t="str">
        <f t="shared" si="6"/>
        <v/>
      </c>
      <c r="R36" s="590" t="str">
        <f t="shared" si="6"/>
        <v/>
      </c>
      <c r="S36" s="590" t="str">
        <f t="shared" si="6"/>
        <v/>
      </c>
      <c r="T36" s="590" t="str">
        <f t="shared" si="6"/>
        <v/>
      </c>
      <c r="U36" s="590" t="str">
        <f t="shared" si="6"/>
        <v/>
      </c>
      <c r="V36" s="590" t="str">
        <f t="shared" si="6"/>
        <v/>
      </c>
      <c r="W36" s="590" t="str">
        <f t="shared" si="6"/>
        <v/>
      </c>
      <c r="X36" s="590" t="str">
        <f t="shared" si="6"/>
        <v/>
      </c>
      <c r="Y36" s="590" t="str">
        <f t="shared" si="6"/>
        <v/>
      </c>
      <c r="Z36" s="590" t="str">
        <f t="shared" si="6"/>
        <v/>
      </c>
      <c r="AA36" s="590" t="str">
        <f t="shared" si="6"/>
        <v/>
      </c>
      <c r="AB36" s="590" t="str">
        <f t="shared" si="6"/>
        <v/>
      </c>
      <c r="AC36" s="590" t="str">
        <f t="shared" si="6"/>
        <v/>
      </c>
      <c r="AD36" s="590" t="str">
        <f t="shared" si="6"/>
        <v/>
      </c>
      <c r="AE36" s="590" t="str">
        <f t="shared" si="6"/>
        <v/>
      </c>
      <c r="AF36" s="590" t="str">
        <f t="shared" si="6"/>
        <v/>
      </c>
      <c r="AG36" s="590" t="str">
        <f t="shared" si="6"/>
        <v/>
      </c>
      <c r="AH36" s="590" t="str">
        <f t="shared" si="6"/>
        <v/>
      </c>
      <c r="AI36" s="590" t="str">
        <f t="shared" ref="AI36:BA36" si="7">IFERROR(-AI33/AI35,"")</f>
        <v/>
      </c>
      <c r="AJ36" s="590" t="str">
        <f t="shared" si="7"/>
        <v/>
      </c>
      <c r="AK36" s="590" t="str">
        <f t="shared" si="7"/>
        <v/>
      </c>
      <c r="AL36" s="590" t="str">
        <f t="shared" si="7"/>
        <v/>
      </c>
      <c r="AM36" s="590" t="str">
        <f t="shared" si="7"/>
        <v/>
      </c>
      <c r="AN36" s="590" t="str">
        <f t="shared" si="7"/>
        <v/>
      </c>
      <c r="AO36" s="590" t="str">
        <f t="shared" si="7"/>
        <v/>
      </c>
      <c r="AP36" s="590" t="str">
        <f t="shared" si="7"/>
        <v/>
      </c>
      <c r="AQ36" s="590" t="str">
        <f t="shared" si="7"/>
        <v/>
      </c>
      <c r="AR36" s="590" t="str">
        <f t="shared" si="7"/>
        <v/>
      </c>
      <c r="AS36" s="590" t="str">
        <f t="shared" si="7"/>
        <v/>
      </c>
      <c r="AT36" s="590" t="str">
        <f t="shared" si="7"/>
        <v/>
      </c>
      <c r="AU36" s="590" t="str">
        <f t="shared" si="7"/>
        <v/>
      </c>
      <c r="AV36" s="590" t="str">
        <f t="shared" si="7"/>
        <v/>
      </c>
      <c r="AW36" s="590" t="str">
        <f t="shared" si="7"/>
        <v/>
      </c>
      <c r="AX36" s="590" t="str">
        <f t="shared" si="7"/>
        <v/>
      </c>
      <c r="AY36" s="590" t="str">
        <f t="shared" si="7"/>
        <v/>
      </c>
      <c r="AZ36" s="590" t="str">
        <f t="shared" si="7"/>
        <v/>
      </c>
      <c r="BA36" s="590" t="str">
        <f t="shared" si="7"/>
        <v/>
      </c>
    </row>
    <row r="37" spans="1:54" s="10" customFormat="1" ht="14.4" x14ac:dyDescent="0.3">
      <c r="A37" s="371" t="s">
        <v>50</v>
      </c>
      <c r="B37" s="360"/>
      <c r="C37" s="407">
        <f t="shared" ref="C37:AH37" si="8">SUM(C33:C35)</f>
        <v>0</v>
      </c>
      <c r="D37" s="407">
        <f t="shared" si="8"/>
        <v>0</v>
      </c>
      <c r="E37" s="407">
        <f t="shared" si="8"/>
        <v>0</v>
      </c>
      <c r="F37" s="407">
        <f t="shared" si="8"/>
        <v>0</v>
      </c>
      <c r="G37" s="407">
        <f t="shared" si="8"/>
        <v>0</v>
      </c>
      <c r="H37" s="407">
        <f t="shared" si="8"/>
        <v>0</v>
      </c>
      <c r="I37" s="407">
        <f t="shared" si="8"/>
        <v>0</v>
      </c>
      <c r="J37" s="407">
        <f t="shared" si="8"/>
        <v>0</v>
      </c>
      <c r="K37" s="407">
        <f t="shared" si="8"/>
        <v>0</v>
      </c>
      <c r="L37" s="407">
        <f t="shared" si="8"/>
        <v>0</v>
      </c>
      <c r="M37" s="407">
        <f t="shared" si="8"/>
        <v>0</v>
      </c>
      <c r="N37" s="407">
        <f t="shared" si="8"/>
        <v>0</v>
      </c>
      <c r="O37" s="407">
        <f t="shared" si="8"/>
        <v>0</v>
      </c>
      <c r="P37" s="407">
        <f t="shared" si="8"/>
        <v>0</v>
      </c>
      <c r="Q37" s="407">
        <f t="shared" si="8"/>
        <v>0</v>
      </c>
      <c r="R37" s="407">
        <f t="shared" si="8"/>
        <v>0</v>
      </c>
      <c r="S37" s="407">
        <f t="shared" si="8"/>
        <v>0</v>
      </c>
      <c r="T37" s="407">
        <f t="shared" si="8"/>
        <v>0</v>
      </c>
      <c r="U37" s="407">
        <f t="shared" si="8"/>
        <v>0</v>
      </c>
      <c r="V37" s="407">
        <f t="shared" si="8"/>
        <v>0</v>
      </c>
      <c r="W37" s="407">
        <f t="shared" si="8"/>
        <v>0</v>
      </c>
      <c r="X37" s="407">
        <f t="shared" si="8"/>
        <v>0</v>
      </c>
      <c r="Y37" s="407">
        <f t="shared" si="8"/>
        <v>0</v>
      </c>
      <c r="Z37" s="407">
        <f t="shared" si="8"/>
        <v>0</v>
      </c>
      <c r="AA37" s="407">
        <f t="shared" si="8"/>
        <v>0</v>
      </c>
      <c r="AB37" s="407">
        <f t="shared" si="8"/>
        <v>0</v>
      </c>
      <c r="AC37" s="407">
        <f t="shared" si="8"/>
        <v>0</v>
      </c>
      <c r="AD37" s="407">
        <f t="shared" si="8"/>
        <v>0</v>
      </c>
      <c r="AE37" s="407">
        <f t="shared" si="8"/>
        <v>0</v>
      </c>
      <c r="AF37" s="407">
        <f t="shared" si="8"/>
        <v>0</v>
      </c>
      <c r="AG37" s="407">
        <f t="shared" si="8"/>
        <v>0</v>
      </c>
      <c r="AH37" s="407">
        <f t="shared" si="8"/>
        <v>0</v>
      </c>
      <c r="AI37" s="407">
        <f t="shared" ref="AI37:BA37" si="9">SUM(AI33:AI35)</f>
        <v>0</v>
      </c>
      <c r="AJ37" s="407">
        <f t="shared" si="9"/>
        <v>0</v>
      </c>
      <c r="AK37" s="407">
        <f t="shared" si="9"/>
        <v>0</v>
      </c>
      <c r="AL37" s="407">
        <f t="shared" si="9"/>
        <v>0</v>
      </c>
      <c r="AM37" s="407">
        <f t="shared" si="9"/>
        <v>0</v>
      </c>
      <c r="AN37" s="407">
        <f t="shared" si="9"/>
        <v>0</v>
      </c>
      <c r="AO37" s="407">
        <f t="shared" si="9"/>
        <v>0</v>
      </c>
      <c r="AP37" s="407">
        <f t="shared" si="9"/>
        <v>0</v>
      </c>
      <c r="AQ37" s="407">
        <f t="shared" si="9"/>
        <v>0</v>
      </c>
      <c r="AR37" s="407">
        <f t="shared" si="9"/>
        <v>0</v>
      </c>
      <c r="AS37" s="407">
        <f t="shared" si="9"/>
        <v>0</v>
      </c>
      <c r="AT37" s="407">
        <f t="shared" si="9"/>
        <v>0</v>
      </c>
      <c r="AU37" s="407">
        <f t="shared" si="9"/>
        <v>0</v>
      </c>
      <c r="AV37" s="407">
        <f t="shared" si="9"/>
        <v>0</v>
      </c>
      <c r="AW37" s="407">
        <f t="shared" si="9"/>
        <v>0</v>
      </c>
      <c r="AX37" s="407">
        <f t="shared" si="9"/>
        <v>0</v>
      </c>
      <c r="AY37" s="407">
        <f t="shared" si="9"/>
        <v>0</v>
      </c>
      <c r="AZ37" s="407">
        <f t="shared" si="9"/>
        <v>0</v>
      </c>
      <c r="BA37" s="407">
        <f t="shared" si="9"/>
        <v>0</v>
      </c>
      <c r="BB37" s="20"/>
    </row>
    <row r="38" spans="1:54" s="6" customFormat="1" ht="14.4" x14ac:dyDescent="0.3">
      <c r="A38" s="365" t="s">
        <v>51</v>
      </c>
      <c r="B38" s="414">
        <f>SUM(C38:XFD38)</f>
        <v>0</v>
      </c>
      <c r="C38" s="410">
        <f>'Costs (by site)'!C22</f>
        <v>0</v>
      </c>
      <c r="D38" s="359"/>
      <c r="E38" s="359"/>
      <c r="F38" s="359"/>
      <c r="G38" s="359"/>
      <c r="H38" s="359"/>
      <c r="I38" s="359"/>
      <c r="J38" s="359"/>
      <c r="K38" s="359"/>
      <c r="L38" s="359"/>
      <c r="M38" s="359"/>
      <c r="N38" s="359"/>
      <c r="O38" s="359"/>
      <c r="P38" s="359"/>
      <c r="Q38" s="359"/>
      <c r="R38" s="359"/>
      <c r="S38" s="359"/>
      <c r="T38" s="359"/>
      <c r="U38" s="359"/>
      <c r="V38" s="359"/>
      <c r="W38" s="359"/>
      <c r="X38" s="359"/>
      <c r="Y38" s="359"/>
      <c r="Z38" s="359"/>
      <c r="AA38" s="359"/>
      <c r="AB38" s="359"/>
      <c r="AC38" s="359"/>
      <c r="AD38" s="359"/>
      <c r="AE38" s="359"/>
      <c r="AF38" s="359"/>
      <c r="AG38" s="359"/>
      <c r="AH38" s="359"/>
      <c r="AI38" s="359"/>
      <c r="AJ38" s="359"/>
      <c r="AK38" s="359"/>
      <c r="AL38" s="359"/>
      <c r="AM38" s="359"/>
      <c r="AN38" s="359"/>
      <c r="AO38" s="359"/>
      <c r="AP38" s="359"/>
      <c r="AQ38" s="359"/>
      <c r="AR38" s="359"/>
      <c r="AS38" s="359"/>
      <c r="AT38" s="359"/>
      <c r="AU38" s="359"/>
      <c r="AV38" s="359"/>
      <c r="AW38" s="359"/>
      <c r="AX38" s="359"/>
      <c r="AY38" s="359"/>
      <c r="AZ38" s="359"/>
      <c r="BA38" s="359"/>
      <c r="BB38" s="18"/>
    </row>
    <row r="39" spans="1:54" s="6" customFormat="1" ht="14.4" x14ac:dyDescent="0.3">
      <c r="A39" s="440" t="s">
        <v>337</v>
      </c>
      <c r="B39" s="414">
        <f>SUM(C39:BA39)</f>
        <v>0</v>
      </c>
      <c r="C39" s="368"/>
      <c r="D39" s="410">
        <f>IF(D$6&gt;'Global assumptions'!$D$31-1,0,MAX(IF(C42&lt;-$C$38,0,-$C$38/('Global assumptions'!$D$31-1)),-D37))</f>
        <v>0</v>
      </c>
      <c r="E39" s="410">
        <f>IF(E$6&gt;'Global assumptions'!$D$31-1,0,MAX(IF(D42&lt;-$C$38,0,-$C$38/('Global assumptions'!$D$31-1)),-E37))</f>
        <v>0</v>
      </c>
      <c r="F39" s="410">
        <f>IF(F$6&gt;'Global assumptions'!$D$31-1,0,MAX(IF(E42&lt;-$C$38,0,-$C$38/('Global assumptions'!$D$31-1)),-F37))</f>
        <v>0</v>
      </c>
      <c r="G39" s="410">
        <f>IF(G$6&gt;'Global assumptions'!$D$31-1,0,MAX(IF(F42&lt;-$C$38,0,-$C$38/('Global assumptions'!$D$31-1)),-G37))</f>
        <v>0</v>
      </c>
      <c r="H39" s="410">
        <f>IF(H$6&gt;'Global assumptions'!$D$31-1,0,MAX(IF(G42&lt;-$C$38,0,-$C$38/('Global assumptions'!$D$31-1)),-H37))</f>
        <v>0</v>
      </c>
      <c r="I39" s="410">
        <f>IF(I$6&gt;'Global assumptions'!$D$31-1,0,MAX(IF(H42&lt;-$C$38,0,-$C$38/('Global assumptions'!$D$31-1)),-I37))</f>
        <v>0</v>
      </c>
      <c r="J39" s="410">
        <f>IF(J$6&gt;'Global assumptions'!$D$31-1,0,MAX(IF(I42&lt;-$C$38,0,-$C$38/('Global assumptions'!$D$31-1)),-J37))</f>
        <v>0</v>
      </c>
      <c r="K39" s="410">
        <f>IF(K$6&gt;'Global assumptions'!$D$31-1,0,MAX(IF(J42&lt;-$C$38,0,-$C$38/('Global assumptions'!$D$31-1)),-K37))</f>
        <v>0</v>
      </c>
      <c r="L39" s="410">
        <f>IF(L$6&gt;'Global assumptions'!$D$31-1,0,MAX(IF(K42&lt;-$C$38,0,-$C$38/('Global assumptions'!$D$31-1)),-L37))</f>
        <v>0</v>
      </c>
      <c r="M39" s="410">
        <f>IF(M$6&gt;'Global assumptions'!$D$31-1,0,MAX(IF(L42&lt;-$C$38,0,-$C$38/('Global assumptions'!$D$31-1)),-M37))</f>
        <v>0</v>
      </c>
      <c r="N39" s="410">
        <f>IF(N$6&gt;'Global assumptions'!$D$31-1,0,MAX(IF(M42&lt;-$C$38,0,-$C$38/('Global assumptions'!$D$31-1)),-N37))</f>
        <v>0</v>
      </c>
      <c r="O39" s="410">
        <f>IF(O$6&gt;'Global assumptions'!$D$31-1,0,MAX(IF(N42&lt;-$C$38,0,-$C$38/('Global assumptions'!$D$31-1)),-O37))</f>
        <v>0</v>
      </c>
      <c r="P39" s="410">
        <f>IF(P$6&gt;'Global assumptions'!$D$31-1,0,MAX(IF(O42&lt;-$C$38,0,-$C$38/('Global assumptions'!$D$31-1)),-P37))</f>
        <v>0</v>
      </c>
      <c r="Q39" s="410">
        <f>IF(Q$6&gt;'Global assumptions'!$D$31-1,0,MAX(IF(P42&lt;-$C$38,0,-$C$38/('Global assumptions'!$D$31-1)),-Q37))</f>
        <v>0</v>
      </c>
      <c r="R39" s="410">
        <f>IF(R$6&gt;'Global assumptions'!$D$31-1,0,MAX(IF(Q42&lt;-$C$38,0,-$C$38/('Global assumptions'!$D$31-1)),-R37))</f>
        <v>0</v>
      </c>
      <c r="S39" s="410">
        <f>IF(S$6&gt;'Global assumptions'!$D$31-1,0,MAX(IF(R42&lt;-$C$38,0,-$C$38/('Global assumptions'!$D$31-1)),-S37))</f>
        <v>0</v>
      </c>
      <c r="T39" s="410">
        <f>IF(T$6&gt;'Global assumptions'!$D$31-1,0,MAX(IF(S42&lt;-$C$38,0,-$C$38/('Global assumptions'!$D$31-1)),-T37))</f>
        <v>0</v>
      </c>
      <c r="U39" s="410">
        <f>IF(U$6&gt;'Global assumptions'!$D$31-1,0,MAX(IF(T42&lt;-$C$38,0,-$C$38/('Global assumptions'!$D$31-1)),-U37))</f>
        <v>0</v>
      </c>
      <c r="V39" s="410">
        <f>IF(V$6&gt;'Global assumptions'!$D$31-1,0,MAX(IF(U42&lt;-$C$38,0,-$C$38/('Global assumptions'!$D$31-1)),-V37))</f>
        <v>0</v>
      </c>
      <c r="W39" s="410">
        <f>IF(W$6&gt;'Global assumptions'!$D$31-1,0,MAX(IF(V42&lt;-$C$38,0,-$C$38/('Global assumptions'!$D$31-1)),-W37))</f>
        <v>0</v>
      </c>
      <c r="X39" s="410">
        <f>IF(X$6&gt;'Global assumptions'!$D$31-1,0,MAX(IF(W42&lt;-$C$38,0,-$C$38/('Global assumptions'!$D$31-1)),-X37))</f>
        <v>0</v>
      </c>
      <c r="Y39" s="410">
        <f>IF(Y$6&gt;'Global assumptions'!$D$31-1,0,MAX(IF(X42&lt;-$C$38,0,-$C$38/('Global assumptions'!$D$31-1)),-Y37))</f>
        <v>0</v>
      </c>
      <c r="Z39" s="410">
        <f>IF(Z$6&gt;'Global assumptions'!$D$31-1,0,MAX(IF(Y42&lt;-$C$38,0,-$C$38/('Global assumptions'!$D$31-1)),-Z37))</f>
        <v>0</v>
      </c>
      <c r="AA39" s="410">
        <f>IF(AA$6&gt;'Global assumptions'!$D$31-1,0,MAX(IF(Z42&lt;-$C$38,0,-$C$38/('Global assumptions'!$D$31-1)),-AA37))</f>
        <v>0</v>
      </c>
      <c r="AB39" s="410">
        <f>IF(AB$6&gt;'Global assumptions'!$D$31-1,0,MAX(IF(AA42&lt;-$C$38,0,-$C$38/('Global assumptions'!$D$31-1)),-AB37))</f>
        <v>0</v>
      </c>
      <c r="AC39" s="410">
        <f>IF(AC$6&gt;'Global assumptions'!$D$31-1,0,MAX(IF(AB42&lt;-$C$38,0,-$C$38/('Global assumptions'!$D$31-1)),-AC37))</f>
        <v>0</v>
      </c>
      <c r="AD39" s="410">
        <f>IF(AD$6&gt;'Global assumptions'!$D$31-1,0,MAX(IF(AC42&lt;-$C$38,0,-$C$38/('Global assumptions'!$D$31-1)),-AD37))</f>
        <v>0</v>
      </c>
      <c r="AE39" s="410">
        <f>IF(AE$6&gt;'Global assumptions'!$D$31-1,0,MAX(IF(AD42&lt;-$C$38,0,-$C$38/('Global assumptions'!$D$31-1)),-AE37))</f>
        <v>0</v>
      </c>
      <c r="AF39" s="410">
        <f>IF(AF$6&gt;'Global assumptions'!$D$31-1,0,MAX(IF(AE42&lt;-$C$38,0,-$C$38/('Global assumptions'!$D$31-1)),-AF37))</f>
        <v>0</v>
      </c>
      <c r="AG39" s="410">
        <f>IF(AG$6&gt;'Global assumptions'!$D$31-1,0,MAX(IF(AF42&lt;-$C$38,0,-$C$38/('Global assumptions'!$D$31-1)),-AG37))</f>
        <v>0</v>
      </c>
      <c r="AH39" s="410">
        <f>IF(AH$6&gt;'Global assumptions'!$D$31-1,0,MAX(IF(AG42&lt;-$C$38,0,-$C$38/('Global assumptions'!$D$31-1)),-AH37))</f>
        <v>0</v>
      </c>
      <c r="AI39" s="410">
        <f>IF(AI$6&gt;'Global assumptions'!$D$31-1,0,MAX(IF(AH42&lt;-$C$38,0,-$C$38/('Global assumptions'!$D$31-1)),-AI37))</f>
        <v>0</v>
      </c>
      <c r="AJ39" s="410">
        <f>IF(AJ$6&gt;'Global assumptions'!$D$31-1,0,MAX(IF(AI42&lt;-$C$38,0,-$C$38/('Global assumptions'!$D$31-1)),-AJ37))</f>
        <v>0</v>
      </c>
      <c r="AK39" s="410">
        <f>IF(AK$6&gt;'Global assumptions'!$D$31-1,0,MAX(IF(AJ42&lt;-$C$38,0,-$C$38/('Global assumptions'!$D$31-1)),-AK37))</f>
        <v>0</v>
      </c>
      <c r="AL39" s="410">
        <f>IF(AL$6&gt;'Global assumptions'!$D$31-1,0,MAX(IF(AK42&lt;-$C$38,0,-$C$38/('Global assumptions'!$D$31-1)),-AL37))</f>
        <v>0</v>
      </c>
      <c r="AM39" s="410">
        <f>IF(AM$6&gt;'Global assumptions'!$D$31-1,0,MAX(IF(AL42&lt;-$C$38,0,-$C$38/('Global assumptions'!$D$31-1)),-AM37))</f>
        <v>0</v>
      </c>
      <c r="AN39" s="410">
        <f>IF(AN$6&gt;'Global assumptions'!$D$31-1,0,MAX(IF(AM42&lt;-$C$38,0,-$C$38/('Global assumptions'!$D$31-1)),-AN37))</f>
        <v>0</v>
      </c>
      <c r="AO39" s="410">
        <f>IF(AO$6&gt;'Global assumptions'!$D$31-1,0,MAX(IF(AN42&lt;-$C$38,0,-$C$38/('Global assumptions'!$D$31-1)),-AO37))</f>
        <v>0</v>
      </c>
      <c r="AP39" s="410">
        <f>IF(AP$6&gt;'Global assumptions'!$D$31-1,0,MAX(IF(AO42&lt;-$C$38,0,-$C$38/('Global assumptions'!$D$31-1)),-AP37))</f>
        <v>0</v>
      </c>
      <c r="AQ39" s="410">
        <f>IF(AQ$6&gt;'Global assumptions'!$D$31-1,0,MAX(IF(AP42&lt;-$C$38,0,-$C$38/('Global assumptions'!$D$31-1)),-AQ37))</f>
        <v>0</v>
      </c>
      <c r="AR39" s="410">
        <f>IF(AR$6&gt;'Global assumptions'!$D$31-1,0,MAX(IF(AQ42&lt;-$C$38,0,-$C$38/('Global assumptions'!$D$31-1)),-AR37))</f>
        <v>0</v>
      </c>
      <c r="AS39" s="410">
        <f>IF(AS$6&gt;'Global assumptions'!$D$31-1,0,MAX(IF(AR42&lt;-$C$38,0,-$C$38/('Global assumptions'!$D$31-1)),-AS37))</f>
        <v>0</v>
      </c>
      <c r="AT39" s="410">
        <f>IF(AT$6&gt;'Global assumptions'!$D$31-1,0,MAX(IF(AS42&lt;-$C$38,0,-$C$38/('Global assumptions'!$D$31-1)),-AT37))</f>
        <v>0</v>
      </c>
      <c r="AU39" s="410">
        <f>IF(AU$6&gt;'Global assumptions'!$D$31-1,0,MAX(IF(AT42&lt;-$C$38,0,-$C$38/('Global assumptions'!$D$31-1)),-AU37))</f>
        <v>0</v>
      </c>
      <c r="AV39" s="410">
        <f>IF(AV$6&gt;'Global assumptions'!$D$31-1,0,MAX(IF(AU42&lt;-$C$38,0,-$C$38/('Global assumptions'!$D$31-1)),-AV37))</f>
        <v>0</v>
      </c>
      <c r="AW39" s="410">
        <f>IF(AW$6&gt;'Global assumptions'!$D$31-1,0,MAX(IF(AV42&lt;-$C$38,0,-$C$38/('Global assumptions'!$D$31-1)),-AW37))</f>
        <v>0</v>
      </c>
      <c r="AX39" s="410">
        <f>IF(AX$6&gt;'Global assumptions'!$D$31-1,0,MAX(IF(AW42&lt;-$C$38,0,-$C$38/('Global assumptions'!$D$31-1)),-AX37))</f>
        <v>0</v>
      </c>
      <c r="AY39" s="410">
        <f>IF(AY$6&gt;'Global assumptions'!$D$31-1,0,MAX(IF(AX42&lt;-$C$38,0,-$C$38/('Global assumptions'!$D$31-1)),-AY37))</f>
        <v>0</v>
      </c>
      <c r="AZ39" s="410">
        <f>IF(AZ$6&gt;'Global assumptions'!$D$31-1,0,MAX(IF(AY42&lt;-$C$38,0,-$C$38/('Global assumptions'!$D$31-1)),-AZ37))</f>
        <v>0</v>
      </c>
      <c r="BA39" s="410">
        <f>IF(BA$6&gt;'Global assumptions'!$D$31-1,0,MAX(IF(AZ42&lt;-$C$38,0,-$C$38/('Global assumptions'!$D$31-1)),-BA37))</f>
        <v>0</v>
      </c>
      <c r="BB39" s="18"/>
    </row>
    <row r="40" spans="1:54" s="6" customFormat="1" ht="14.4" x14ac:dyDescent="0.3">
      <c r="A40" s="365" t="s">
        <v>52</v>
      </c>
      <c r="B40" s="414">
        <f>SUM(C40:BA40)</f>
        <v>0</v>
      </c>
      <c r="C40" s="253"/>
      <c r="D40" s="410">
        <f>IF('Cash Flow Model'!D6&gt;='Global assumptions'!$D$32,-MIN($B$38*'Revenue sensitivities'!$D$19,D37+D39),0)</f>
        <v>0</v>
      </c>
      <c r="E40" s="410">
        <f>IF('Cash Flow Model'!E6&gt;='Global assumptions'!$D$32,-MIN($B$38*'Revenue sensitivities'!$D$19,E37+E39),0)</f>
        <v>0</v>
      </c>
      <c r="F40" s="410">
        <f>IF('Cash Flow Model'!F6&gt;='Global assumptions'!$D$32,-MIN($B$38*'Revenue sensitivities'!$D$19,F37+F39),0)</f>
        <v>0</v>
      </c>
      <c r="G40" s="410">
        <f>IF('Cash Flow Model'!G6&gt;='Global assumptions'!$D$32,-MIN($B$38*'Revenue sensitivities'!$D$19,G37+G39),0)</f>
        <v>0</v>
      </c>
      <c r="H40" s="410">
        <f>IF('Cash Flow Model'!H6&gt;='Global assumptions'!$D$32,-MIN($B$38*'Revenue sensitivities'!$D$19,H37+H39),0)</f>
        <v>0</v>
      </c>
      <c r="I40" s="410">
        <f>IF('Cash Flow Model'!I6&gt;='Global assumptions'!$D$32,-MIN($B$38*'Revenue sensitivities'!$D$19,I37+I39),0)</f>
        <v>0</v>
      </c>
      <c r="J40" s="410">
        <f>IF('Cash Flow Model'!J6&gt;='Global assumptions'!$D$32,-MIN($B$38*'Revenue sensitivities'!$D$19,J37+J39),0)</f>
        <v>0</v>
      </c>
      <c r="K40" s="410">
        <f>IF('Cash Flow Model'!K6&gt;='Global assumptions'!$D$32,-MIN($B$38*'Revenue sensitivities'!$D$19,K37+K39),0)</f>
        <v>0</v>
      </c>
      <c r="L40" s="410">
        <f>IF('Cash Flow Model'!L6&gt;='Global assumptions'!$D$32,-MIN($B$38*'Revenue sensitivities'!$D$19,L37+L39),0)</f>
        <v>0</v>
      </c>
      <c r="M40" s="410">
        <f>IF('Cash Flow Model'!M6&gt;='Global assumptions'!$D$32,-MIN($B$38*'Revenue sensitivities'!$D$19,M37+M39),0)</f>
        <v>0</v>
      </c>
      <c r="N40" s="410">
        <f>IF('Cash Flow Model'!N6&gt;='Global assumptions'!$D$32,-MIN($B$38*'Revenue sensitivities'!$D$19,N37+N39),0)</f>
        <v>0</v>
      </c>
      <c r="O40" s="410">
        <f>IF('Cash Flow Model'!O6&gt;='Global assumptions'!$D$32,-MIN($B$38*'Revenue sensitivities'!$D$19,O37+O39),0)</f>
        <v>0</v>
      </c>
      <c r="P40" s="410">
        <f>IF('Cash Flow Model'!P6&gt;='Global assumptions'!$D$32,-MIN($B$38*'Revenue sensitivities'!$D$19,P37+P39),0)</f>
        <v>0</v>
      </c>
      <c r="Q40" s="410">
        <f>IF('Cash Flow Model'!Q6&gt;='Global assumptions'!$D$32,-MIN($B$38*'Revenue sensitivities'!$D$19,Q37+Q39),0)</f>
        <v>0</v>
      </c>
      <c r="R40" s="410">
        <f>IF('Cash Flow Model'!R6&gt;='Global assumptions'!$D$32,-MIN($B$38*'Revenue sensitivities'!$D$19,R37+R39),0)</f>
        <v>0</v>
      </c>
      <c r="S40" s="410">
        <f>IF('Cash Flow Model'!S6&gt;='Global assumptions'!$D$32,-MIN($B$38*'Revenue sensitivities'!$D$19,S37+S39),0)</f>
        <v>0</v>
      </c>
      <c r="T40" s="410">
        <f>IF('Cash Flow Model'!T6&gt;='Global assumptions'!$D$32,-MIN($B$38*'Revenue sensitivities'!$D$19,T37+T39),0)</f>
        <v>0</v>
      </c>
      <c r="U40" s="410">
        <f>IF('Cash Flow Model'!U6&gt;='Global assumptions'!$D$32,-MIN($B$38*'Revenue sensitivities'!$D$19,U37+U39),0)</f>
        <v>0</v>
      </c>
      <c r="V40" s="410">
        <f>IF('Cash Flow Model'!V6&gt;='Global assumptions'!$D$32,-MIN($B$38*'Revenue sensitivities'!$D$19,V37+V39),0)</f>
        <v>0</v>
      </c>
      <c r="W40" s="410">
        <f>IF('Cash Flow Model'!W6&gt;='Global assumptions'!$D$32,-MIN($B$38*'Revenue sensitivities'!$D$19,W37+W39),0)</f>
        <v>0</v>
      </c>
      <c r="X40" s="410">
        <f>IF('Cash Flow Model'!X6&gt;='Global assumptions'!$D$32,-MIN($B$38*'Revenue sensitivities'!$D$19,X37+X39),0)</f>
        <v>0</v>
      </c>
      <c r="Y40" s="410">
        <f>IF('Cash Flow Model'!Y6&gt;='Global assumptions'!$D$32,-MIN($B$38*'Revenue sensitivities'!$D$19,Y37+Y39),0)</f>
        <v>0</v>
      </c>
      <c r="Z40" s="410">
        <f>IF('Cash Flow Model'!Z6&gt;='Global assumptions'!$D$32,-MIN($B$38*'Revenue sensitivities'!$D$19,Z37+Z39),0)</f>
        <v>0</v>
      </c>
      <c r="AA40" s="410">
        <f>IF('Cash Flow Model'!AA6&gt;='Global assumptions'!$D$32,-MIN($B$38*'Revenue sensitivities'!$D$19,AA37+AA39),0)</f>
        <v>0</v>
      </c>
      <c r="AB40" s="410">
        <f>IF('Cash Flow Model'!AB6&gt;='Global assumptions'!$D$32,-MIN($B$38*'Revenue sensitivities'!$D$19,AB37+AB39),0)</f>
        <v>0</v>
      </c>
      <c r="AC40" s="410">
        <f>IF('Cash Flow Model'!AC6&gt;='Global assumptions'!$D$32,-MIN($B$38*'Revenue sensitivities'!$D$19,AC37+AC39),0)</f>
        <v>0</v>
      </c>
      <c r="AD40" s="410">
        <f>IF('Cash Flow Model'!AD6&gt;='Global assumptions'!$D$32,-MIN($B$38*'Revenue sensitivities'!$D$19,AD37+AD39),0)</f>
        <v>0</v>
      </c>
      <c r="AE40" s="410">
        <f>IF('Cash Flow Model'!AE6&gt;='Global assumptions'!$D$32,-MIN($B$38*'Revenue sensitivities'!$D$19,AE37+AE39),0)</f>
        <v>0</v>
      </c>
      <c r="AF40" s="410">
        <f>IF('Cash Flow Model'!AF6&gt;='Global assumptions'!$D$32,-MIN($B$38*'Revenue sensitivities'!$D$19,AF37+AF39),0)</f>
        <v>0</v>
      </c>
      <c r="AG40" s="410">
        <f>IF('Cash Flow Model'!AG6&gt;='Global assumptions'!$D$32,-MIN($B$38*'Revenue sensitivities'!$D$19,AG37+AG39),0)</f>
        <v>0</v>
      </c>
      <c r="AH40" s="410">
        <f>IF('Cash Flow Model'!AH6&gt;='Global assumptions'!$D$32,-MIN($B$38*'Revenue sensitivities'!$D$19,AH37+AH39),0)</f>
        <v>0</v>
      </c>
      <c r="AI40" s="410">
        <f>IF('Cash Flow Model'!AI6&gt;='Global assumptions'!$D$32,-MIN($B$38*'Revenue sensitivities'!$D$19,AI37+AI39),0)</f>
        <v>0</v>
      </c>
      <c r="AJ40" s="410">
        <f>IF('Cash Flow Model'!AJ6&gt;='Global assumptions'!$D$32,-MIN($B$38*'Revenue sensitivities'!$D$19,AJ37+AJ39),0)</f>
        <v>0</v>
      </c>
      <c r="AK40" s="410">
        <f>IF('Cash Flow Model'!AK6&gt;='Global assumptions'!$D$32,-MIN($B$38*'Revenue sensitivities'!$D$19,AK37+AK39),0)</f>
        <v>0</v>
      </c>
      <c r="AL40" s="410">
        <f>IF('Cash Flow Model'!AL6&gt;='Global assumptions'!$D$32,-MIN($B$38*'Revenue sensitivities'!$D$19,AL37+AL39),0)</f>
        <v>0</v>
      </c>
      <c r="AM40" s="410">
        <f>IF('Cash Flow Model'!AM6&gt;='Global assumptions'!$D$32,-MIN($B$38*'Revenue sensitivities'!$D$19,AM37+AM39),0)</f>
        <v>0</v>
      </c>
      <c r="AN40" s="410">
        <f>IF('Cash Flow Model'!AN6&gt;='Global assumptions'!$D$32,-MIN($B$38*'Revenue sensitivities'!$D$19,AN37+AN39),0)</f>
        <v>0</v>
      </c>
      <c r="AO40" s="410">
        <f>IF('Cash Flow Model'!AO6&gt;='Global assumptions'!$D$32,-MIN($B$38*'Revenue sensitivities'!$D$19,AO37+AO39),0)</f>
        <v>0</v>
      </c>
      <c r="AP40" s="410">
        <f>IF('Cash Flow Model'!AP6&gt;='Global assumptions'!$D$32,-MIN($B$38*'Revenue sensitivities'!$D$19,AP37+AP39),0)</f>
        <v>0</v>
      </c>
      <c r="AQ40" s="410">
        <f>IF('Cash Flow Model'!AQ6&gt;='Global assumptions'!$D$32,-MIN($B$38*'Revenue sensitivities'!$D$19,AQ37+AQ39),0)</f>
        <v>0</v>
      </c>
      <c r="AR40" s="410">
        <f>IF('Cash Flow Model'!AR6&gt;='Global assumptions'!$D$32,-MIN($B$38*'Revenue sensitivities'!$D$19,AR37+AR39),0)</f>
        <v>0</v>
      </c>
      <c r="AS40" s="410">
        <f>IF('Cash Flow Model'!AS6&gt;='Global assumptions'!$D$32,-MIN($B$38*'Revenue sensitivities'!$D$19,AS37+AS39),0)</f>
        <v>0</v>
      </c>
      <c r="AT40" s="410">
        <f>IF('Cash Flow Model'!AT6&gt;='Global assumptions'!$D$32,-MIN($B$38*'Revenue sensitivities'!$D$19,AT37+AT39),0)</f>
        <v>0</v>
      </c>
      <c r="AU40" s="410">
        <f>IF('Cash Flow Model'!AU6&gt;='Global assumptions'!$D$32,-MIN($B$38*'Revenue sensitivities'!$D$19,AU37+AU39),0)</f>
        <v>0</v>
      </c>
      <c r="AV40" s="410">
        <f>IF('Cash Flow Model'!AV6&gt;='Global assumptions'!$D$32,-MIN($B$38*'Revenue sensitivities'!$D$19,AV37+AV39),0)</f>
        <v>0</v>
      </c>
      <c r="AW40" s="410">
        <f>IF('Cash Flow Model'!AW6&gt;='Global assumptions'!$D$32,-MIN($B$38*'Revenue sensitivities'!$D$19,AW37+AW39),0)</f>
        <v>0</v>
      </c>
      <c r="AX40" s="410">
        <f>IF('Cash Flow Model'!AX6&gt;='Global assumptions'!$D$32,-MIN($B$38*'Revenue sensitivities'!$D$19,AX37+AX39),0)</f>
        <v>0</v>
      </c>
      <c r="AY40" s="410">
        <f>IF('Cash Flow Model'!AY6&gt;='Global assumptions'!$D$32,-MIN($B$38*'Revenue sensitivities'!$D$19,AY37+AY39),0)</f>
        <v>0</v>
      </c>
      <c r="AZ40" s="410">
        <f>IF('Cash Flow Model'!AZ6&gt;='Global assumptions'!$D$32,-MIN($B$38*'Revenue sensitivities'!$D$19,AZ37+AZ39),0)</f>
        <v>0</v>
      </c>
      <c r="BA40" s="410">
        <f>IF('Cash Flow Model'!BA6&gt;='Global assumptions'!$D$32,-MIN($B$38*'Revenue sensitivities'!$D$19,BA37+BA39),0)</f>
        <v>0</v>
      </c>
      <c r="BB40" s="18"/>
    </row>
    <row r="41" spans="1:54" s="81" customFormat="1" ht="14.4" x14ac:dyDescent="0.3">
      <c r="A41" s="378" t="s">
        <v>218</v>
      </c>
      <c r="B41" s="379"/>
      <c r="C41" s="380"/>
      <c r="D41" s="415">
        <f>IF(D$6&gt;'Global assumptions'!$D$7,"",-IFERROR(D40/$C$38,0))</f>
        <v>0</v>
      </c>
      <c r="E41" s="415">
        <f>IF(E$6&gt;'Global assumptions'!$D$7,"",-IFERROR(E40/$C$38,0))</f>
        <v>0</v>
      </c>
      <c r="F41" s="415">
        <f>IF(F$6&gt;'Global assumptions'!$D$7,"",-IFERROR(F40/$C$38,0))</f>
        <v>0</v>
      </c>
      <c r="G41" s="415">
        <f>IF(G$6&gt;'Global assumptions'!$D$7,"",-IFERROR(G40/$C$38,0))</f>
        <v>0</v>
      </c>
      <c r="H41" s="415">
        <f>IF(H$6&gt;'Global assumptions'!$D$7,"",-IFERROR(H40/$C$38,0))</f>
        <v>0</v>
      </c>
      <c r="I41" s="415">
        <f>IF(I$6&gt;'Global assumptions'!$D$7,"",-IFERROR(I40/$C$38,0))</f>
        <v>0</v>
      </c>
      <c r="J41" s="415">
        <f>IF(J$6&gt;'Global assumptions'!$D$7,"",-IFERROR(J40/$C$38,0))</f>
        <v>0</v>
      </c>
      <c r="K41" s="415">
        <f>IF(K$6&gt;'Global assumptions'!$D$7,"",-IFERROR(K40/$C$38,0))</f>
        <v>0</v>
      </c>
      <c r="L41" s="415">
        <f>IF(L$6&gt;'Global assumptions'!$D$7,"",-IFERROR(L40/$C$38,0))</f>
        <v>0</v>
      </c>
      <c r="M41" s="415">
        <f>IF(M$6&gt;'Global assumptions'!$D$7,"",-IFERROR(M40/$C$38,0))</f>
        <v>0</v>
      </c>
      <c r="N41" s="415">
        <f>IF(N$6&gt;'Global assumptions'!$D$7,"",-IFERROR(N40/$C$38,0))</f>
        <v>0</v>
      </c>
      <c r="O41" s="415">
        <f>IF(O$6&gt;'Global assumptions'!$D$7,"",-IFERROR(O40/$C$38,0))</f>
        <v>0</v>
      </c>
      <c r="P41" s="415">
        <f>IF(P$6&gt;'Global assumptions'!$D$7,"",-IFERROR(P40/$C$38,0))</f>
        <v>0</v>
      </c>
      <c r="Q41" s="415">
        <f>IF(Q$6&gt;'Global assumptions'!$D$7,"",-IFERROR(Q40/$C$38,0))</f>
        <v>0</v>
      </c>
      <c r="R41" s="415">
        <f>IF(R$6&gt;'Global assumptions'!$D$7,"",-IFERROR(R40/$C$38,0))</f>
        <v>0</v>
      </c>
      <c r="S41" s="415">
        <f>IF(S$6&gt;'Global assumptions'!$D$7,"",-IFERROR(S40/$C$38,0))</f>
        <v>0</v>
      </c>
      <c r="T41" s="415">
        <f>IF(T$6&gt;'Global assumptions'!$D$7,"",-IFERROR(T40/$C$38,0))</f>
        <v>0</v>
      </c>
      <c r="U41" s="415">
        <f>IF(U$6&gt;'Global assumptions'!$D$7,"",-IFERROR(U40/$C$38,0))</f>
        <v>0</v>
      </c>
      <c r="V41" s="415">
        <f>IF(V$6&gt;'Global assumptions'!$D$7,"",-IFERROR(V40/$C$38,0))</f>
        <v>0</v>
      </c>
      <c r="W41" s="415">
        <f>IF(W$6&gt;'Global assumptions'!$D$7,"",-IFERROR(W40/$C$38,0))</f>
        <v>0</v>
      </c>
      <c r="X41" s="415">
        <f>IF(X$6&gt;'Global assumptions'!$D$7,"",-IFERROR(X40/$C$38,0))</f>
        <v>0</v>
      </c>
      <c r="Y41" s="415">
        <f>IF(Y$6&gt;'Global assumptions'!$D$7,"",-IFERROR(Y40/$C$38,0))</f>
        <v>0</v>
      </c>
      <c r="Z41" s="415">
        <f>IF(Z$6&gt;'Global assumptions'!$D$7,"",-IFERROR(Z40/$C$38,0))</f>
        <v>0</v>
      </c>
      <c r="AA41" s="415">
        <f>IF(AA$6&gt;'Global assumptions'!$D$7,"",-IFERROR(AA40/$C$38,0))</f>
        <v>0</v>
      </c>
      <c r="AB41" s="415">
        <f>IF(AB$6&gt;'Global assumptions'!$D$7,"",-IFERROR(AB40/$C$38,0))</f>
        <v>0</v>
      </c>
      <c r="AC41" s="415" t="str">
        <f>IF(AC$6&gt;'Global assumptions'!$D$7,"",-IFERROR(AC40/$C$38,0))</f>
        <v/>
      </c>
      <c r="AD41" s="415" t="str">
        <f>IF(AD$6&gt;'Global assumptions'!$D$7,"",-IFERROR(AD40/$C$38,0))</f>
        <v/>
      </c>
      <c r="AE41" s="415" t="str">
        <f>IF(AE$6&gt;'Global assumptions'!$D$7,"",-IFERROR(AE40/$C$38,0))</f>
        <v/>
      </c>
      <c r="AF41" s="415" t="str">
        <f>IF(AF$6&gt;'Global assumptions'!$D$7,"",-IFERROR(AF40/$C$38,0))</f>
        <v/>
      </c>
      <c r="AG41" s="415" t="str">
        <f>IF(AG$6&gt;'Global assumptions'!$D$7,"",-IFERROR(AG40/$C$38,0))</f>
        <v/>
      </c>
      <c r="AH41" s="415" t="str">
        <f>IF(AH$6&gt;'Global assumptions'!$D$7,"",-IFERROR(AH40/$C$38,0))</f>
        <v/>
      </c>
      <c r="AI41" s="415" t="str">
        <f>IF(AI$6&gt;'Global assumptions'!$D$7,"",-IFERROR(AI40/$C$38,0))</f>
        <v/>
      </c>
      <c r="AJ41" s="415" t="str">
        <f>IF(AJ$6&gt;'Global assumptions'!$D$7,"",-IFERROR(AJ40/$C$38,0))</f>
        <v/>
      </c>
      <c r="AK41" s="415" t="str">
        <f>IF(AK$6&gt;'Global assumptions'!$D$7,"",-IFERROR(AK40/$C$38,0))</f>
        <v/>
      </c>
      <c r="AL41" s="415" t="str">
        <f>IF(AL$6&gt;'Global assumptions'!$D$7,"",-IFERROR(AL40/$C$38,0))</f>
        <v/>
      </c>
      <c r="AM41" s="415" t="str">
        <f>IF(AM$6&gt;'Global assumptions'!$D$7,"",-IFERROR(AM40/$C$38,0))</f>
        <v/>
      </c>
      <c r="AN41" s="415" t="str">
        <f>IF(AN$6&gt;'Global assumptions'!$D$7,"",-IFERROR(AN40/$C$38,0))</f>
        <v/>
      </c>
      <c r="AO41" s="415" t="str">
        <f>IF(AO$6&gt;'Global assumptions'!$D$7,"",-IFERROR(AO40/$C$38,0))</f>
        <v/>
      </c>
      <c r="AP41" s="415" t="str">
        <f>IF(AP$6&gt;'Global assumptions'!$D$7,"",-IFERROR(AP40/$C$38,0))</f>
        <v/>
      </c>
      <c r="AQ41" s="415" t="str">
        <f>IF(AQ$6&gt;'Global assumptions'!$D$7,"",-IFERROR(AQ40/$C$38,0))</f>
        <v/>
      </c>
      <c r="AR41" s="415" t="str">
        <f>IF(AR$6&gt;'Global assumptions'!$D$7,"",-IFERROR(AR40/$C$38,0))</f>
        <v/>
      </c>
      <c r="AS41" s="415" t="str">
        <f>IF(AS$6&gt;'Global assumptions'!$D$7,"",-IFERROR(AS40/$C$38,0))</f>
        <v/>
      </c>
      <c r="AT41" s="415" t="str">
        <f>IF(AT$6&gt;'Global assumptions'!$D$7,"",-IFERROR(AT40/$C$38,0))</f>
        <v/>
      </c>
      <c r="AU41" s="415" t="str">
        <f>IF(AU$6&gt;'Global assumptions'!$D$7,"",-IFERROR(AU40/$C$38,0))</f>
        <v/>
      </c>
      <c r="AV41" s="415" t="str">
        <f>IF(AV$6&gt;'Global assumptions'!$D$7,"",-IFERROR(AV40/$C$38,0))</f>
        <v/>
      </c>
      <c r="AW41" s="415" t="str">
        <f>IF(AW$6&gt;'Global assumptions'!$D$7,"",-IFERROR(AW40/$C$38,0))</f>
        <v/>
      </c>
      <c r="AX41" s="415" t="str">
        <f>IF(AX$6&gt;'Global assumptions'!$D$7,"",-IFERROR(AX40/$C$38,0))</f>
        <v/>
      </c>
      <c r="AY41" s="415" t="str">
        <f>IF(AY$6&gt;'Global assumptions'!$D$7,"",-IFERROR(AY40/$C$38,0))</f>
        <v/>
      </c>
      <c r="AZ41" s="415" t="str">
        <f>IF(AZ$6&gt;'Global assumptions'!$D$7,"",-IFERROR(AZ40/$C$38,0))</f>
        <v/>
      </c>
      <c r="BA41" s="415" t="str">
        <f>IF(BA$6&gt;'Global assumptions'!$D$7,"",-IFERROR(BA40/$C$38,0))</f>
        <v/>
      </c>
      <c r="BB41" s="18"/>
    </row>
    <row r="42" spans="1:54" s="9" customFormat="1" ht="14.4" x14ac:dyDescent="0.3">
      <c r="A42" s="381" t="s">
        <v>53</v>
      </c>
      <c r="B42" s="417" t="str">
        <f>IF(MIN(C42:BB42)=-B38,"ok","err")</f>
        <v>ok</v>
      </c>
      <c r="C42" s="368"/>
      <c r="D42" s="416">
        <f>IF(D$6&gt;'Global assumptions'!$D$7,0,D39+C42)</f>
        <v>0</v>
      </c>
      <c r="E42" s="416">
        <f>IF(E$6&gt;'Global assumptions'!$D$7,0,E39+D42)</f>
        <v>0</v>
      </c>
      <c r="F42" s="416">
        <f>IF(F$6&gt;'Global assumptions'!$D$7,0,F39+E42)</f>
        <v>0</v>
      </c>
      <c r="G42" s="416">
        <f>IF(G$6&gt;'Global assumptions'!$D$7,0,G39+F42)</f>
        <v>0</v>
      </c>
      <c r="H42" s="416">
        <f>IF(H$6&gt;'Global assumptions'!$D$7,0,H39+G42)</f>
        <v>0</v>
      </c>
      <c r="I42" s="416">
        <f>IF(I$6&gt;'Global assumptions'!$D$7,0,I39+H42)</f>
        <v>0</v>
      </c>
      <c r="J42" s="416">
        <f>IF(J$6&gt;'Global assumptions'!$D$7,0,J39+I42)</f>
        <v>0</v>
      </c>
      <c r="K42" s="416">
        <f>IF(K$6&gt;'Global assumptions'!$D$7,0,K39+J42)</f>
        <v>0</v>
      </c>
      <c r="L42" s="416">
        <f>IF(L$6&gt;'Global assumptions'!$D$7,0,L39+K42)</f>
        <v>0</v>
      </c>
      <c r="M42" s="416">
        <f>IF(M$6&gt;'Global assumptions'!$D$7,0,M39+L42)</f>
        <v>0</v>
      </c>
      <c r="N42" s="416">
        <f>IF(N$6&gt;'Global assumptions'!$D$7,0,N39+M42)</f>
        <v>0</v>
      </c>
      <c r="O42" s="416">
        <f>IF(O$6&gt;'Global assumptions'!$D$7,0,O39+N42)</f>
        <v>0</v>
      </c>
      <c r="P42" s="416">
        <f>IF(P$6&gt;'Global assumptions'!$D$7,0,P39+O42)</f>
        <v>0</v>
      </c>
      <c r="Q42" s="416">
        <f>IF(Q$6&gt;'Global assumptions'!$D$7,0,Q39+P42)</f>
        <v>0</v>
      </c>
      <c r="R42" s="416">
        <f>IF(R$6&gt;'Global assumptions'!$D$7,0,R39+Q42)</f>
        <v>0</v>
      </c>
      <c r="S42" s="416">
        <f>IF(S$6&gt;'Global assumptions'!$D$7,0,S39+R42)</f>
        <v>0</v>
      </c>
      <c r="T42" s="416">
        <f>IF(T$6&gt;'Global assumptions'!$D$7,0,T39+S42)</f>
        <v>0</v>
      </c>
      <c r="U42" s="416">
        <f>IF(U$6&gt;'Global assumptions'!$D$7,0,U39+T42)</f>
        <v>0</v>
      </c>
      <c r="V42" s="416">
        <f>IF(V$6&gt;'Global assumptions'!$D$7,0,V39+U42)</f>
        <v>0</v>
      </c>
      <c r="W42" s="416">
        <f>IF(W$6&gt;'Global assumptions'!$D$7,0,W39+V42)</f>
        <v>0</v>
      </c>
      <c r="X42" s="416">
        <f>IF(X$6&gt;'Global assumptions'!$D$7,0,X39+W42)</f>
        <v>0</v>
      </c>
      <c r="Y42" s="416">
        <f>IF(Y$6&gt;'Global assumptions'!$D$7,0,Y39+X42)</f>
        <v>0</v>
      </c>
      <c r="Z42" s="416">
        <f>IF(Z$6&gt;'Global assumptions'!$D$7,0,Z39+Y42)</f>
        <v>0</v>
      </c>
      <c r="AA42" s="416">
        <f>IF(AA$6&gt;'Global assumptions'!$D$7,0,AA39+Z42)</f>
        <v>0</v>
      </c>
      <c r="AB42" s="416">
        <f>IF(AB$6&gt;'Global assumptions'!$D$7,0,AB39+AA42)</f>
        <v>0</v>
      </c>
      <c r="AC42" s="416">
        <f>IF(AC$6&gt;'Global assumptions'!$D$7,0,AC39+AB42)</f>
        <v>0</v>
      </c>
      <c r="AD42" s="416">
        <f>IF(AD$6&gt;'Global assumptions'!$D$7,0,AD39+AC42)</f>
        <v>0</v>
      </c>
      <c r="AE42" s="416">
        <f>IF(AE$6&gt;'Global assumptions'!$D$7,0,AE39+AD42)</f>
        <v>0</v>
      </c>
      <c r="AF42" s="416">
        <f>IF(AF$6&gt;'Global assumptions'!$D$7,0,AF39+AE42)</f>
        <v>0</v>
      </c>
      <c r="AG42" s="416">
        <f>IF(AG$6&gt;'Global assumptions'!$D$7,0,AG39+AF42)</f>
        <v>0</v>
      </c>
      <c r="AH42" s="416">
        <f>IF(AH$6&gt;'Global assumptions'!$D$7,0,AH39+AG42)</f>
        <v>0</v>
      </c>
      <c r="AI42" s="416">
        <f>IF(AI$6&gt;'Global assumptions'!$D$7,0,AI39+AH42)</f>
        <v>0</v>
      </c>
      <c r="AJ42" s="416">
        <f>IF(AJ$6&gt;'Global assumptions'!$D$7,0,AJ39+AI42)</f>
        <v>0</v>
      </c>
      <c r="AK42" s="416">
        <f>IF(AK$6&gt;'Global assumptions'!$D$7,0,AK39+AJ42)</f>
        <v>0</v>
      </c>
      <c r="AL42" s="416">
        <f>IF(AL$6&gt;'Global assumptions'!$D$7,0,AL39+AK42)</f>
        <v>0</v>
      </c>
      <c r="AM42" s="416">
        <f>IF(AM$6&gt;'Global assumptions'!$D$7,0,AM39+AL42)</f>
        <v>0</v>
      </c>
      <c r="AN42" s="416">
        <f>IF(AN$6&gt;'Global assumptions'!$D$7,0,AN39+AM42)</f>
        <v>0</v>
      </c>
      <c r="AO42" s="416">
        <f>IF(AO$6&gt;'Global assumptions'!$D$7,0,AO39+AN42)</f>
        <v>0</v>
      </c>
      <c r="AP42" s="416">
        <f>IF(AP$6&gt;'Global assumptions'!$D$7,0,AP39+AO42)</f>
        <v>0</v>
      </c>
      <c r="AQ42" s="416">
        <f>IF(AQ$6&gt;'Global assumptions'!$D$7,0,AQ39+AP42)</f>
        <v>0</v>
      </c>
      <c r="AR42" s="416">
        <f>IF(AR$6&gt;'Global assumptions'!$D$7,0,AR39+AQ42)</f>
        <v>0</v>
      </c>
      <c r="AS42" s="416">
        <f>IF(AS$6&gt;'Global assumptions'!$D$7,0,AS39+AR42)</f>
        <v>0</v>
      </c>
      <c r="AT42" s="416">
        <f>IF(AT$6&gt;'Global assumptions'!$D$7,0,AT39+AS42)</f>
        <v>0</v>
      </c>
      <c r="AU42" s="416">
        <f>IF(AU$6&gt;'Global assumptions'!$D$7,0,AU39+AT42)</f>
        <v>0</v>
      </c>
      <c r="AV42" s="416">
        <f>IF(AV$6&gt;'Global assumptions'!$D$7,0,AV39+AU42)</f>
        <v>0</v>
      </c>
      <c r="AW42" s="416">
        <f>IF(AW$6&gt;'Global assumptions'!$D$7,0,AW39+AV42)</f>
        <v>0</v>
      </c>
      <c r="AX42" s="416">
        <f>IF(AX$6&gt;'Global assumptions'!$D$7,0,AX39+AW42)</f>
        <v>0</v>
      </c>
      <c r="AY42" s="416">
        <f>IF(AY$6&gt;'Global assumptions'!$D$7,0,AY39+AX42)</f>
        <v>0</v>
      </c>
      <c r="AZ42" s="416">
        <f>IF(AZ$6&gt;'Global assumptions'!$D$7,0,AZ39+AY42)</f>
        <v>0</v>
      </c>
      <c r="BA42" s="416">
        <f>IF(BA$6&gt;'Global assumptions'!$D$7,0,BA39+AZ42)</f>
        <v>0</v>
      </c>
      <c r="BB42" s="120">
        <f>IF(BB$6&gt;'Global assumptions'!$D$7,0,BB39+BA42)</f>
        <v>0</v>
      </c>
    </row>
    <row r="43" spans="1:54" s="16" customFormat="1" ht="17.399999999999999" customHeight="1" x14ac:dyDescent="0.3">
      <c r="A43" s="592" t="s">
        <v>425</v>
      </c>
      <c r="B43" s="593">
        <f>SUM(C43:BA43)</f>
        <v>0</v>
      </c>
      <c r="C43" s="382"/>
      <c r="D43" s="418">
        <f>SUM(D37,D39:D40)</f>
        <v>0</v>
      </c>
      <c r="E43" s="418">
        <f>IF(E$6&gt;'Global assumptions'!$D$7,0,SUM(E37,E39:E40))</f>
        <v>0</v>
      </c>
      <c r="F43" s="418">
        <f>IF(F$6&gt;'Global assumptions'!$D$7,0,SUM(F37,F39:F40))</f>
        <v>0</v>
      </c>
      <c r="G43" s="418">
        <f>IF(G$6&gt;'Global assumptions'!$D$7,0,SUM(G37,G39:G40))</f>
        <v>0</v>
      </c>
      <c r="H43" s="418">
        <f>IF(H$6&gt;'Global assumptions'!$D$7,0,SUM(H37,H39:H40))</f>
        <v>0</v>
      </c>
      <c r="I43" s="418">
        <f>IF(I$6&gt;'Global assumptions'!$D$7,0,SUM(I37,I39:I40))</f>
        <v>0</v>
      </c>
      <c r="J43" s="418">
        <f>IF(J$6&gt;'Global assumptions'!$D$7,0,SUM(J37,J39:J40))</f>
        <v>0</v>
      </c>
      <c r="K43" s="418">
        <f>IF(K$6&gt;'Global assumptions'!$D$7,0,SUM(K37,K39:K40))</f>
        <v>0</v>
      </c>
      <c r="L43" s="418">
        <f>IF(L$6&gt;'Global assumptions'!$D$7,0,SUM(L37,L39:L40))</f>
        <v>0</v>
      </c>
      <c r="M43" s="418">
        <f>IF(M$6&gt;'Global assumptions'!$D$7,0,SUM(M37,M39:M40))</f>
        <v>0</v>
      </c>
      <c r="N43" s="418">
        <f>IF(N$6&gt;'Global assumptions'!$D$7,0,SUM(N37,N39:N40))</f>
        <v>0</v>
      </c>
      <c r="O43" s="418">
        <f>IF(O$6&gt;'Global assumptions'!$D$7,0,SUM(O37,O39:O40))</f>
        <v>0</v>
      </c>
      <c r="P43" s="418">
        <f>IF(P$6&gt;'Global assumptions'!$D$7,0,SUM(P37,P39:P40))</f>
        <v>0</v>
      </c>
      <c r="Q43" s="418">
        <f>IF(Q$6&gt;'Global assumptions'!$D$7,0,SUM(Q37,Q39:Q40))</f>
        <v>0</v>
      </c>
      <c r="R43" s="418">
        <f>IF(R$6&gt;'Global assumptions'!$D$7,0,SUM(R37,R39:R40))</f>
        <v>0</v>
      </c>
      <c r="S43" s="418">
        <f>IF(S$6&gt;'Global assumptions'!$D$7,0,SUM(S37,S39:S40))</f>
        <v>0</v>
      </c>
      <c r="T43" s="418">
        <f>IF(T$6&gt;'Global assumptions'!$D$7,0,SUM(T37,T39:T40))</f>
        <v>0</v>
      </c>
      <c r="U43" s="418">
        <f>IF(U$6&gt;'Global assumptions'!$D$7,0,SUM(U37,U39:U40))</f>
        <v>0</v>
      </c>
      <c r="V43" s="418">
        <f>IF(V$6&gt;'Global assumptions'!$D$7,0,SUM(V37,V39:V40))</f>
        <v>0</v>
      </c>
      <c r="W43" s="418">
        <f>IF(W$6&gt;'Global assumptions'!$D$7,0,SUM(W37,W39:W40))</f>
        <v>0</v>
      </c>
      <c r="X43" s="418">
        <f>IF(X$6&gt;'Global assumptions'!$D$7,0,SUM(X37,X39:X40))</f>
        <v>0</v>
      </c>
      <c r="Y43" s="418">
        <f>IF(Y$6&gt;'Global assumptions'!$D$7,0,SUM(Y37,Y39:Y40))</f>
        <v>0</v>
      </c>
      <c r="Z43" s="418">
        <f>IF(Z$6&gt;'Global assumptions'!$D$7,0,SUM(Z37,Z39:Z40))</f>
        <v>0</v>
      </c>
      <c r="AA43" s="418">
        <f>IF(AA$6&gt;'Global assumptions'!$D$7,0,SUM(AA37,AA39:AA40))</f>
        <v>0</v>
      </c>
      <c r="AB43" s="418">
        <f>IF(AB$6&gt;'Global assumptions'!$D$7,0,SUM(AB37,AB39:AB40))</f>
        <v>0</v>
      </c>
      <c r="AC43" s="418">
        <f>IF(AC$6&gt;'Global assumptions'!$D$7,0,SUM(AC37,AC39:AC40))</f>
        <v>0</v>
      </c>
      <c r="AD43" s="418">
        <f>IF(AD$6&gt;'Global assumptions'!$D$7,0,SUM(AD37,AD39:AD40))</f>
        <v>0</v>
      </c>
      <c r="AE43" s="418">
        <f>IF(AE$6&gt;'Global assumptions'!$D$7,0,SUM(AE37,AE39:AE40))</f>
        <v>0</v>
      </c>
      <c r="AF43" s="418">
        <f>IF(AF$6&gt;'Global assumptions'!$D$7,0,SUM(AF37,AF39:AF40))</f>
        <v>0</v>
      </c>
      <c r="AG43" s="418">
        <f>IF(AG$6&gt;'Global assumptions'!$D$7,0,SUM(AG37,AG39:AG40))</f>
        <v>0</v>
      </c>
      <c r="AH43" s="418">
        <f>IF(AH$6&gt;'Global assumptions'!$D$7,0,SUM(AH37,AH39:AH40))</f>
        <v>0</v>
      </c>
      <c r="AI43" s="418">
        <f>IF(AI$6&gt;'Global assumptions'!$D$7,0,SUM(AI37,AI39:AI40))</f>
        <v>0</v>
      </c>
      <c r="AJ43" s="418">
        <f>IF(AJ$6&gt;'Global assumptions'!$D$7,0,SUM(AJ37,AJ39:AJ40))</f>
        <v>0</v>
      </c>
      <c r="AK43" s="418">
        <f>IF(AK$6&gt;'Global assumptions'!$D$7,0,SUM(AK37,AK39:AK40))</f>
        <v>0</v>
      </c>
      <c r="AL43" s="418">
        <f>IF(AL$6&gt;'Global assumptions'!$D$7,0,SUM(AL37,AL39:AL40))</f>
        <v>0</v>
      </c>
      <c r="AM43" s="418">
        <f>IF(AM$6&gt;'Global assumptions'!$D$7,0,SUM(AM37,AM39:AM40))</f>
        <v>0</v>
      </c>
      <c r="AN43" s="418">
        <f>IF(AN$6&gt;'Global assumptions'!$D$7,0,SUM(AN37,AN39:AN40))</f>
        <v>0</v>
      </c>
      <c r="AO43" s="418">
        <f>IF(AO$6&gt;'Global assumptions'!$D$7,0,SUM(AO37,AO39:AO40))</f>
        <v>0</v>
      </c>
      <c r="AP43" s="418">
        <f>IF(AP$6&gt;'Global assumptions'!$D$7,0,SUM(AP37,AP39:AP40))</f>
        <v>0</v>
      </c>
      <c r="AQ43" s="418">
        <f>IF(AQ$6&gt;'Global assumptions'!$D$7,0,SUM(AQ37,AQ39:AQ40))</f>
        <v>0</v>
      </c>
      <c r="AR43" s="418">
        <f>IF(AR$6&gt;'Global assumptions'!$D$7,0,SUM(AR37,AR39:AR40))</f>
        <v>0</v>
      </c>
      <c r="AS43" s="418">
        <f>IF(AS$6&gt;'Global assumptions'!$D$7,0,SUM(AS37,AS39:AS40))</f>
        <v>0</v>
      </c>
      <c r="AT43" s="418">
        <f>IF(AT$6&gt;'Global assumptions'!$D$7,0,SUM(AT37,AT39:AT40))</f>
        <v>0</v>
      </c>
      <c r="AU43" s="418">
        <f>IF(AU$6&gt;'Global assumptions'!$D$7,0,SUM(AU37,AU39:AU40))</f>
        <v>0</v>
      </c>
      <c r="AV43" s="418">
        <f>IF(AV$6&gt;'Global assumptions'!$D$7,0,SUM(AV37,AV39:AV40))</f>
        <v>0</v>
      </c>
      <c r="AW43" s="418">
        <f>IF(AW$6&gt;'Global assumptions'!$D$7,0,SUM(AW37,AW39:AW40))</f>
        <v>0</v>
      </c>
      <c r="AX43" s="418">
        <f>IF(AX$6&gt;'Global assumptions'!$D$7,0,SUM(AX37,AX39:AX40))</f>
        <v>0</v>
      </c>
      <c r="AY43" s="418">
        <f>IF(AY$6&gt;'Global assumptions'!$D$7,0,SUM(AY37,AY39:AY40))</f>
        <v>0</v>
      </c>
      <c r="AZ43" s="418">
        <f>IF(AZ$6&gt;'Global assumptions'!$D$7,0,SUM(AZ37,AZ39:AZ40))</f>
        <v>0</v>
      </c>
      <c r="BA43" s="418">
        <f>IF(BA$6&gt;'Global assumptions'!$D$7,0,SUM(BA37,BA39:BA40))</f>
        <v>0</v>
      </c>
    </row>
    <row r="44" spans="1:54" s="16" customFormat="1" ht="17.399999999999999" customHeight="1" x14ac:dyDescent="0.3">
      <c r="A44" s="592" t="s">
        <v>426</v>
      </c>
      <c r="B44" s="593">
        <f>SUM(C44:BA44)</f>
        <v>0</v>
      </c>
      <c r="C44" s="382"/>
      <c r="D44" s="418">
        <f>SUM(D37,D39:D40)</f>
        <v>0</v>
      </c>
      <c r="E44" s="418">
        <f>IF(E$6&gt;'Global assumptions'!$D$7,0,E43+D44)</f>
        <v>0</v>
      </c>
      <c r="F44" s="418">
        <f>IF(F$6&gt;'Global assumptions'!$D$7,0,F43+E44)</f>
        <v>0</v>
      </c>
      <c r="G44" s="418">
        <f>IF(G$6&gt;'Global assumptions'!$D$7,0,G43+F44)</f>
        <v>0</v>
      </c>
      <c r="H44" s="418">
        <f>IF(H$6&gt;'Global assumptions'!$D$7,0,H43+G44)</f>
        <v>0</v>
      </c>
      <c r="I44" s="418">
        <f>IF(I$6&gt;'Global assumptions'!$D$7,0,I43+H44)</f>
        <v>0</v>
      </c>
      <c r="J44" s="418">
        <f>IF(J$6&gt;'Global assumptions'!$D$7,0,J43+I44)</f>
        <v>0</v>
      </c>
      <c r="K44" s="418">
        <f>IF(K$6&gt;'Global assumptions'!$D$7,0,K43+J44)</f>
        <v>0</v>
      </c>
      <c r="L44" s="418">
        <f>IF(L$6&gt;'Global assumptions'!$D$7,0,L43+K44)</f>
        <v>0</v>
      </c>
      <c r="M44" s="418">
        <f>IF(M$6&gt;'Global assumptions'!$D$7,0,M43+L44)</f>
        <v>0</v>
      </c>
      <c r="N44" s="418">
        <f>IF(N$6&gt;'Global assumptions'!$D$7,0,N43+M44)</f>
        <v>0</v>
      </c>
      <c r="O44" s="418">
        <f>IF(O$6&gt;'Global assumptions'!$D$7,0,O43+N44)</f>
        <v>0</v>
      </c>
      <c r="P44" s="418">
        <f>IF(P$6&gt;'Global assumptions'!$D$7,0,P43+O44)</f>
        <v>0</v>
      </c>
      <c r="Q44" s="418">
        <f>IF(Q$6&gt;'Global assumptions'!$D$7,0,Q43+P44)</f>
        <v>0</v>
      </c>
      <c r="R44" s="418">
        <f>IF(R$6&gt;'Global assumptions'!$D$7,0,R43+Q44)</f>
        <v>0</v>
      </c>
      <c r="S44" s="418">
        <f>IF(S$6&gt;'Global assumptions'!$D$7,0,S43+R44)</f>
        <v>0</v>
      </c>
      <c r="T44" s="418">
        <f>IF(T$6&gt;'Global assumptions'!$D$7,0,T43+S44)</f>
        <v>0</v>
      </c>
      <c r="U44" s="418">
        <f>IF(U$6&gt;'Global assumptions'!$D$7,0,U43+T44)</f>
        <v>0</v>
      </c>
      <c r="V44" s="418">
        <f>IF(V$6&gt;'Global assumptions'!$D$7,0,V43+U44)</f>
        <v>0</v>
      </c>
      <c r="W44" s="418">
        <f>IF(W$6&gt;'Global assumptions'!$D$7,0,W43+V44)</f>
        <v>0</v>
      </c>
      <c r="X44" s="418">
        <f>IF(X$6&gt;'Global assumptions'!$D$7,0,X43+W44)</f>
        <v>0</v>
      </c>
      <c r="Y44" s="418">
        <f>IF(Y$6&gt;'Global assumptions'!$D$7,0,Y43+X44)</f>
        <v>0</v>
      </c>
      <c r="Z44" s="418">
        <f>IF(Z$6&gt;'Global assumptions'!$D$7,0,Z43+Y44)</f>
        <v>0</v>
      </c>
      <c r="AA44" s="418">
        <f>IF(AA$6&gt;'Global assumptions'!$D$7,0,AA43+Z44)</f>
        <v>0</v>
      </c>
      <c r="AB44" s="418">
        <f>IF(AB$6&gt;'Global assumptions'!$D$7,0,AB43+AA44)</f>
        <v>0</v>
      </c>
      <c r="AC44" s="418">
        <f>IF(AC$6&gt;'Global assumptions'!$D$7,0,AC43+AB44)</f>
        <v>0</v>
      </c>
      <c r="AD44" s="418">
        <f>IF(AD$6&gt;'Global assumptions'!$D$7,0,AD43+AC44)</f>
        <v>0</v>
      </c>
      <c r="AE44" s="418">
        <f>IF(AE$6&gt;'Global assumptions'!$D$7,0,AE43+AD44)</f>
        <v>0</v>
      </c>
      <c r="AF44" s="418">
        <f>IF(AF$6&gt;'Global assumptions'!$D$7,0,AF43+AE44)</f>
        <v>0</v>
      </c>
      <c r="AG44" s="418">
        <f>IF(AG$6&gt;'Global assumptions'!$D$7,0,AG43+AF44)</f>
        <v>0</v>
      </c>
      <c r="AH44" s="418">
        <f>IF(AH$6&gt;'Global assumptions'!$D$7,0,AH43+AG44)</f>
        <v>0</v>
      </c>
      <c r="AI44" s="418">
        <f>IF(AI$6&gt;'Global assumptions'!$D$7,0,AI43+AH44)</f>
        <v>0</v>
      </c>
      <c r="AJ44" s="418">
        <f>IF(AJ$6&gt;'Global assumptions'!$D$7,0,AJ43+AI44)</f>
        <v>0</v>
      </c>
      <c r="AK44" s="418">
        <f>IF(AK$6&gt;'Global assumptions'!$D$7,0,AK43+AJ44)</f>
        <v>0</v>
      </c>
      <c r="AL44" s="418">
        <f>IF(AL$6&gt;'Global assumptions'!$D$7,0,AL43+AK44)</f>
        <v>0</v>
      </c>
      <c r="AM44" s="418">
        <f>IF(AM$6&gt;'Global assumptions'!$D$7,0,AM43+AL44)</f>
        <v>0</v>
      </c>
      <c r="AN44" s="418">
        <f>IF(AN$6&gt;'Global assumptions'!$D$7,0,AN43+AM44)</f>
        <v>0</v>
      </c>
      <c r="AO44" s="418">
        <f>IF(AO$6&gt;'Global assumptions'!$D$7,0,AO43+AN44)</f>
        <v>0</v>
      </c>
      <c r="AP44" s="418">
        <f>IF(AP$6&gt;'Global assumptions'!$D$7,0,AP43+AO44)</f>
        <v>0</v>
      </c>
      <c r="AQ44" s="418">
        <f>IF(AQ$6&gt;'Global assumptions'!$D$7,0,AQ43+AP44)</f>
        <v>0</v>
      </c>
      <c r="AR44" s="418">
        <f>IF(AR$6&gt;'Global assumptions'!$D$7,0,AR43+AQ44)</f>
        <v>0</v>
      </c>
      <c r="AS44" s="418">
        <f>IF(AS$6&gt;'Global assumptions'!$D$7,0,AS43+AR44)</f>
        <v>0</v>
      </c>
      <c r="AT44" s="418">
        <f>IF(AT$6&gt;'Global assumptions'!$D$7,0,AT43+AS44)</f>
        <v>0</v>
      </c>
      <c r="AU44" s="418">
        <f>IF(AU$6&gt;'Global assumptions'!$D$7,0,AU43+AT44)</f>
        <v>0</v>
      </c>
      <c r="AV44" s="418">
        <f>IF(AV$6&gt;'Global assumptions'!$D$7,0,AV43+AU44)</f>
        <v>0</v>
      </c>
      <c r="AW44" s="418">
        <f>IF(AW$6&gt;'Global assumptions'!$D$7,0,AW43+AV44)</f>
        <v>0</v>
      </c>
      <c r="AX44" s="418">
        <f>IF(AX$6&gt;'Global assumptions'!$D$7,0,AX43+AW44)</f>
        <v>0</v>
      </c>
      <c r="AY44" s="418">
        <f>IF(AY$6&gt;'Global assumptions'!$D$7,0,AY43+AX44)</f>
        <v>0</v>
      </c>
      <c r="AZ44" s="418">
        <f>IF(AZ$6&gt;'Global assumptions'!$D$7,0,AZ43+AY44)</f>
        <v>0</v>
      </c>
      <c r="BA44" s="418">
        <f>IF(BA$6&gt;'Global assumptions'!$D$7,0,BA43+AZ44)</f>
        <v>0</v>
      </c>
    </row>
    <row r="45" spans="1:54" x14ac:dyDescent="0.25">
      <c r="A45" s="189"/>
      <c r="B45" s="189"/>
      <c r="C45" s="189"/>
      <c r="D45" s="189"/>
      <c r="E45" s="189"/>
      <c r="F45" s="189"/>
      <c r="G45" s="189"/>
      <c r="H45" s="189"/>
      <c r="I45" s="189"/>
      <c r="J45" s="189"/>
      <c r="K45" s="189"/>
      <c r="L45" s="189"/>
      <c r="M45" s="189"/>
      <c r="N45" s="189"/>
      <c r="O45" s="189"/>
      <c r="P45" s="189"/>
      <c r="Q45" s="189"/>
      <c r="R45" s="189"/>
      <c r="S45" s="189"/>
      <c r="T45" s="189"/>
      <c r="U45" s="189"/>
      <c r="V45" s="189"/>
      <c r="W45" s="189"/>
      <c r="X45" s="189"/>
      <c r="Y45" s="189"/>
      <c r="Z45" s="189"/>
      <c r="AA45" s="189"/>
      <c r="AB45" s="189"/>
      <c r="AC45" s="189"/>
      <c r="AD45" s="189"/>
      <c r="AE45" s="189"/>
      <c r="AF45" s="189"/>
      <c r="AG45" s="189"/>
      <c r="AH45" s="189"/>
      <c r="AI45" s="189"/>
      <c r="AJ45" s="189"/>
      <c r="AK45" s="189"/>
      <c r="AL45" s="189"/>
      <c r="AM45" s="189"/>
      <c r="AN45" s="189"/>
      <c r="AO45" s="189"/>
      <c r="AP45" s="189"/>
      <c r="AQ45" s="189"/>
      <c r="AR45" s="189"/>
      <c r="AS45" s="189"/>
      <c r="AT45" s="189"/>
      <c r="AU45" s="189"/>
      <c r="AV45" s="189"/>
      <c r="AW45" s="189"/>
      <c r="AX45" s="189"/>
      <c r="AY45" s="189"/>
      <c r="AZ45" s="189"/>
      <c r="BA45" s="189"/>
    </row>
    <row r="46" spans="1:54" ht="14.4" x14ac:dyDescent="0.3">
      <c r="A46" s="383" t="s">
        <v>54</v>
      </c>
      <c r="B46" s="419" t="str">
        <f>IFERROR(IRR(C33:BA33,0.01),"n/a")</f>
        <v>n/a</v>
      </c>
      <c r="C46" s="189"/>
      <c r="D46" s="384"/>
      <c r="E46" s="384"/>
      <c r="F46" s="384"/>
      <c r="G46" s="189"/>
      <c r="H46" s="189"/>
      <c r="I46" s="189"/>
      <c r="J46" s="189"/>
      <c r="K46" s="189"/>
      <c r="L46" s="189"/>
      <c r="M46" s="189"/>
      <c r="N46" s="189"/>
      <c r="O46" s="189"/>
      <c r="P46" s="189"/>
      <c r="Q46" s="189"/>
      <c r="R46" s="189"/>
      <c r="S46" s="189"/>
      <c r="T46" s="189"/>
      <c r="U46" s="189"/>
      <c r="V46" s="189"/>
      <c r="W46" s="189"/>
      <c r="X46" s="189"/>
      <c r="Y46" s="189"/>
      <c r="Z46" s="189"/>
      <c r="AA46" s="189"/>
      <c r="AB46" s="189"/>
      <c r="AC46" s="189"/>
      <c r="AD46" s="189"/>
      <c r="AE46" s="189"/>
      <c r="AF46" s="189"/>
      <c r="AG46" s="189"/>
      <c r="AH46" s="189"/>
      <c r="AI46" s="189"/>
      <c r="AJ46" s="189"/>
      <c r="AK46" s="189"/>
      <c r="AL46" s="189"/>
      <c r="AM46" s="189"/>
      <c r="AN46" s="189"/>
      <c r="AO46" s="189"/>
      <c r="AP46" s="189"/>
      <c r="AQ46" s="189"/>
      <c r="AR46" s="189"/>
      <c r="AS46" s="189"/>
      <c r="AT46" s="189"/>
      <c r="AU46" s="189"/>
      <c r="AV46" s="189"/>
      <c r="AW46" s="189"/>
      <c r="AX46" s="189"/>
      <c r="AY46" s="189"/>
      <c r="AZ46" s="189"/>
      <c r="BA46" s="189"/>
    </row>
    <row r="47" spans="1:54" ht="14.4" x14ac:dyDescent="0.3">
      <c r="A47" s="420" t="str">
        <f>"Project NPV @"&amp;'Global assumptions'!D8*100&amp;"%"</f>
        <v>Project NPV @3.5%</v>
      </c>
      <c r="B47" s="421">
        <f>ROUND(NPV('Global assumptions'!D8,'Cash Flow Model'!C33:BA33),-2)</f>
        <v>0</v>
      </c>
      <c r="C47" s="189"/>
      <c r="D47" s="384"/>
      <c r="E47" s="189"/>
      <c r="F47" s="189"/>
      <c r="G47" s="189"/>
      <c r="H47" s="189"/>
      <c r="I47" s="189"/>
      <c r="J47" s="189"/>
      <c r="K47" s="189"/>
      <c r="L47" s="189"/>
      <c r="M47" s="189"/>
      <c r="N47" s="189"/>
      <c r="O47" s="189"/>
      <c r="P47" s="189"/>
      <c r="Q47" s="189"/>
      <c r="R47" s="189"/>
      <c r="S47" s="189"/>
      <c r="T47" s="189"/>
      <c r="U47" s="189"/>
      <c r="V47" s="189"/>
      <c r="W47" s="189"/>
      <c r="X47" s="189"/>
      <c r="Y47" s="189"/>
      <c r="Z47" s="189"/>
      <c r="AA47" s="189"/>
      <c r="AB47" s="189"/>
      <c r="AC47" s="189"/>
      <c r="AD47" s="189"/>
      <c r="AE47" s="189"/>
      <c r="AF47" s="189"/>
      <c r="AG47" s="189"/>
      <c r="AH47" s="189"/>
      <c r="AI47" s="189"/>
      <c r="AJ47" s="189"/>
      <c r="AK47" s="189"/>
      <c r="AL47" s="189"/>
      <c r="AM47" s="189"/>
      <c r="AN47" s="189"/>
      <c r="AO47" s="189"/>
      <c r="AP47" s="189"/>
      <c r="AQ47" s="189"/>
      <c r="AR47" s="189"/>
      <c r="AS47" s="189"/>
      <c r="AT47" s="189"/>
      <c r="AU47" s="189"/>
      <c r="AV47" s="189"/>
      <c r="AW47" s="189"/>
      <c r="AX47" s="189"/>
      <c r="AY47" s="189"/>
      <c r="AZ47" s="189"/>
      <c r="BA47" s="189"/>
    </row>
    <row r="48" spans="1:54" ht="14.4" x14ac:dyDescent="0.3">
      <c r="A48" s="420" t="str">
        <f>"Equity NPV (before shareholder payments) @"&amp;'Global assumptions'!D8*100&amp;"%"</f>
        <v>Equity NPV (before shareholder payments) @3.5%</v>
      </c>
      <c r="B48" s="663">
        <f>ROUND(NPV('Global assumptions'!D8,'Cash Flow Model'!C37:BA37),-2)</f>
        <v>0</v>
      </c>
      <c r="C48" s="189"/>
      <c r="D48" s="384"/>
      <c r="E48" s="189"/>
      <c r="F48" s="189"/>
      <c r="G48" s="189"/>
      <c r="H48" s="189"/>
      <c r="I48" s="189"/>
      <c r="J48" s="189"/>
      <c r="K48" s="189"/>
      <c r="L48" s="189"/>
      <c r="M48" s="189"/>
      <c r="N48" s="189"/>
      <c r="O48" s="189"/>
      <c r="P48" s="189"/>
      <c r="Q48" s="189"/>
      <c r="R48" s="189"/>
      <c r="S48" s="189"/>
      <c r="T48" s="189"/>
      <c r="U48" s="189"/>
      <c r="V48" s="189"/>
      <c r="W48" s="189"/>
      <c r="X48" s="189"/>
      <c r="Y48" s="189"/>
      <c r="Z48" s="189"/>
      <c r="AA48" s="189"/>
      <c r="AB48" s="189"/>
      <c r="AC48" s="189"/>
      <c r="AD48" s="189"/>
      <c r="AE48" s="189"/>
      <c r="AF48" s="189"/>
      <c r="AG48" s="189"/>
      <c r="AH48" s="189"/>
      <c r="AI48" s="189"/>
      <c r="AJ48" s="189"/>
      <c r="AK48" s="189"/>
      <c r="AL48" s="189"/>
      <c r="AM48" s="189"/>
      <c r="AN48" s="189"/>
      <c r="AO48" s="189"/>
      <c r="AP48" s="189"/>
      <c r="AQ48" s="189"/>
      <c r="AR48" s="189"/>
      <c r="AS48" s="189"/>
      <c r="AT48" s="189"/>
      <c r="AU48" s="189"/>
      <c r="AV48" s="189"/>
      <c r="AW48" s="189"/>
      <c r="AX48" s="189"/>
      <c r="AY48" s="189"/>
      <c r="AZ48" s="189"/>
      <c r="BA48" s="189"/>
    </row>
    <row r="49" spans="1:53" x14ac:dyDescent="0.25">
      <c r="A49" s="189"/>
      <c r="B49" s="385"/>
      <c r="C49" s="189"/>
      <c r="D49" s="384"/>
      <c r="E49" s="189"/>
      <c r="F49" s="189"/>
      <c r="G49" s="189"/>
      <c r="H49" s="189"/>
      <c r="I49" s="189"/>
      <c r="J49" s="189"/>
      <c r="K49" s="189"/>
      <c r="L49" s="189"/>
      <c r="M49" s="189"/>
      <c r="N49" s="189"/>
      <c r="O49" s="189"/>
      <c r="P49" s="189"/>
      <c r="Q49" s="189"/>
      <c r="R49" s="189"/>
      <c r="S49" s="189"/>
      <c r="T49" s="189"/>
      <c r="U49" s="189"/>
      <c r="V49" s="189"/>
      <c r="W49" s="189"/>
      <c r="X49" s="189"/>
      <c r="Y49" s="189"/>
      <c r="Z49" s="189"/>
      <c r="AA49" s="189"/>
      <c r="AB49" s="189"/>
      <c r="AC49" s="189"/>
      <c r="AD49" s="189"/>
      <c r="AE49" s="189"/>
      <c r="AF49" s="189"/>
      <c r="AG49" s="189"/>
      <c r="AH49" s="189"/>
      <c r="AI49" s="189"/>
      <c r="AJ49" s="189"/>
      <c r="AK49" s="189"/>
      <c r="AL49" s="189"/>
      <c r="AM49" s="189"/>
      <c r="AN49" s="189"/>
      <c r="AO49" s="189"/>
      <c r="AP49" s="189"/>
      <c r="AQ49" s="189"/>
      <c r="AR49" s="189"/>
      <c r="AS49" s="189"/>
      <c r="AT49" s="189"/>
      <c r="AU49" s="189"/>
      <c r="AV49" s="189"/>
      <c r="AW49" s="189"/>
      <c r="AX49" s="189"/>
      <c r="AY49" s="189"/>
      <c r="AZ49" s="189"/>
      <c r="BA49" s="189"/>
    </row>
    <row r="50" spans="1:53" ht="14.4" x14ac:dyDescent="0.3">
      <c r="A50" s="383" t="s">
        <v>473</v>
      </c>
      <c r="B50" s="386"/>
      <c r="C50" s="189"/>
      <c r="D50" s="384"/>
      <c r="E50" s="189"/>
      <c r="F50" s="189"/>
      <c r="G50" s="189"/>
      <c r="H50" s="189"/>
      <c r="I50" s="189"/>
      <c r="J50" s="189"/>
      <c r="K50" s="189"/>
      <c r="L50" s="189"/>
      <c r="M50" s="189"/>
      <c r="N50" s="189"/>
      <c r="O50" s="189"/>
      <c r="P50" s="189"/>
      <c r="Q50" s="189"/>
      <c r="R50" s="189"/>
      <c r="S50" s="189"/>
      <c r="T50" s="189"/>
      <c r="U50" s="189"/>
      <c r="V50" s="189"/>
      <c r="W50" s="189"/>
      <c r="X50" s="189"/>
      <c r="Y50" s="189"/>
      <c r="Z50" s="189"/>
      <c r="AA50" s="189"/>
      <c r="AB50" s="189"/>
      <c r="AC50" s="189"/>
      <c r="AD50" s="189"/>
      <c r="AE50" s="189"/>
      <c r="AF50" s="189"/>
      <c r="AG50" s="189"/>
      <c r="AH50" s="189"/>
      <c r="AI50" s="189"/>
      <c r="AJ50" s="189"/>
      <c r="AK50" s="189"/>
      <c r="AL50" s="189"/>
      <c r="AM50" s="189"/>
      <c r="AN50" s="189"/>
      <c r="AO50" s="189"/>
      <c r="AP50" s="189"/>
      <c r="AQ50" s="189"/>
      <c r="AR50" s="189"/>
      <c r="AS50" s="189"/>
      <c r="AT50" s="189"/>
      <c r="AU50" s="189"/>
      <c r="AV50" s="189"/>
      <c r="AW50" s="189"/>
      <c r="AX50" s="189"/>
      <c r="AY50" s="189"/>
      <c r="AZ50" s="189"/>
      <c r="BA50" s="189"/>
    </row>
    <row r="51" spans="1:53" ht="14.4" x14ac:dyDescent="0.3">
      <c r="A51" s="383" t="s">
        <v>55</v>
      </c>
      <c r="B51" s="422">
        <f>SUM(D41:BA41)/('Global assumptions'!D7-'Global assumptions'!D32+1)</f>
        <v>0</v>
      </c>
      <c r="C51" s="189"/>
      <c r="D51" s="384"/>
      <c r="E51" s="189"/>
      <c r="F51" s="189"/>
      <c r="G51" s="189"/>
      <c r="H51" s="189"/>
      <c r="I51" s="189"/>
      <c r="J51" s="189"/>
      <c r="K51" s="189"/>
      <c r="L51" s="189"/>
      <c r="M51" s="189"/>
      <c r="N51" s="189"/>
      <c r="O51" s="189"/>
      <c r="P51" s="189"/>
      <c r="Q51" s="189"/>
      <c r="R51" s="189"/>
      <c r="S51" s="189"/>
      <c r="T51" s="189"/>
      <c r="U51" s="189"/>
      <c r="V51" s="189"/>
      <c r="W51" s="189"/>
      <c r="X51" s="189"/>
      <c r="Y51" s="189"/>
      <c r="Z51" s="189"/>
      <c r="AA51" s="189"/>
      <c r="AB51" s="189"/>
      <c r="AC51" s="189"/>
      <c r="AD51" s="189"/>
      <c r="AE51" s="189"/>
      <c r="AF51" s="189"/>
      <c r="AG51" s="189"/>
      <c r="AH51" s="189"/>
      <c r="AI51" s="189"/>
      <c r="AJ51" s="189"/>
      <c r="AK51" s="189"/>
      <c r="AL51" s="189"/>
      <c r="AM51" s="189"/>
      <c r="AN51" s="189"/>
      <c r="AO51" s="189"/>
      <c r="AP51" s="189"/>
      <c r="AQ51" s="189"/>
      <c r="AR51" s="189"/>
      <c r="AS51" s="189"/>
      <c r="AT51" s="189"/>
      <c r="AU51" s="189"/>
      <c r="AV51" s="189"/>
      <c r="AW51" s="189"/>
      <c r="AX51" s="189"/>
      <c r="AY51" s="189"/>
      <c r="AZ51" s="189"/>
      <c r="BA51" s="189"/>
    </row>
    <row r="52" spans="1:53" ht="14.4" x14ac:dyDescent="0.3">
      <c r="A52" s="655"/>
      <c r="B52" s="656"/>
      <c r="C52" s="189"/>
      <c r="D52" s="384"/>
      <c r="E52" s="189"/>
      <c r="F52" s="189"/>
      <c r="G52" s="189"/>
      <c r="H52" s="189"/>
      <c r="I52" s="189"/>
      <c r="J52" s="189"/>
      <c r="K52" s="189"/>
      <c r="L52" s="189"/>
      <c r="M52" s="189"/>
      <c r="N52" s="189"/>
      <c r="O52" s="189"/>
      <c r="P52" s="189"/>
      <c r="Q52" s="189"/>
      <c r="R52" s="189"/>
      <c r="S52" s="189"/>
      <c r="T52" s="189"/>
      <c r="U52" s="189"/>
      <c r="V52" s="189"/>
      <c r="W52" s="189"/>
      <c r="X52" s="189"/>
      <c r="Y52" s="189"/>
      <c r="Z52" s="189"/>
      <c r="AA52" s="189"/>
      <c r="AB52" s="189"/>
      <c r="AC52" s="189"/>
      <c r="AD52" s="189"/>
      <c r="AE52" s="189"/>
      <c r="AF52" s="189"/>
      <c r="AG52" s="189"/>
      <c r="AH52" s="189"/>
      <c r="AI52" s="189"/>
      <c r="AJ52" s="189"/>
      <c r="AK52" s="189"/>
      <c r="AL52" s="189"/>
      <c r="AM52" s="189"/>
      <c r="AN52" s="189"/>
      <c r="AO52" s="189"/>
      <c r="AP52" s="189"/>
      <c r="AQ52" s="189"/>
      <c r="AR52" s="189"/>
      <c r="AS52" s="189"/>
      <c r="AT52" s="189"/>
      <c r="AU52" s="189"/>
      <c r="AV52" s="189"/>
      <c r="AW52" s="189"/>
      <c r="AX52" s="189"/>
      <c r="AY52" s="189"/>
      <c r="AZ52" s="189"/>
      <c r="BA52" s="189"/>
    </row>
    <row r="53" spans="1:53" ht="14.4" x14ac:dyDescent="0.3">
      <c r="A53" s="655"/>
      <c r="B53" s="656"/>
      <c r="C53" s="189"/>
      <c r="D53" s="384"/>
      <c r="E53" s="189"/>
      <c r="F53" s="189"/>
      <c r="G53" s="189"/>
      <c r="H53" s="189"/>
      <c r="I53" s="189"/>
      <c r="J53" s="189"/>
      <c r="K53" s="189"/>
      <c r="L53" s="189"/>
      <c r="M53" s="189"/>
      <c r="N53" s="189"/>
      <c r="O53" s="189"/>
      <c r="P53" s="189"/>
      <c r="Q53" s="189"/>
      <c r="R53" s="189"/>
      <c r="S53" s="189"/>
      <c r="T53" s="189"/>
      <c r="U53" s="189"/>
      <c r="V53" s="189"/>
      <c r="W53" s="189"/>
      <c r="X53" s="189"/>
      <c r="Y53" s="189"/>
      <c r="Z53" s="189"/>
      <c r="AA53" s="189"/>
      <c r="AB53" s="189"/>
      <c r="AC53" s="189"/>
      <c r="AD53" s="189"/>
      <c r="AE53" s="189"/>
      <c r="AF53" s="189"/>
      <c r="AG53" s="189"/>
      <c r="AH53" s="189"/>
      <c r="AI53" s="189"/>
      <c r="AJ53" s="189"/>
      <c r="AK53" s="189"/>
      <c r="AL53" s="189"/>
      <c r="AM53" s="189"/>
      <c r="AN53" s="189"/>
      <c r="AO53" s="189"/>
      <c r="AP53" s="189"/>
      <c r="AQ53" s="189"/>
      <c r="AR53" s="189"/>
      <c r="AS53" s="189"/>
      <c r="AT53" s="189"/>
      <c r="AU53" s="189"/>
      <c r="AV53" s="189"/>
      <c r="AW53" s="189"/>
      <c r="AX53" s="189"/>
      <c r="AY53" s="189"/>
      <c r="AZ53" s="189"/>
      <c r="BA53" s="189"/>
    </row>
    <row r="54" spans="1:53" ht="14.4" x14ac:dyDescent="0.3">
      <c r="A54" s="655"/>
      <c r="B54" s="656"/>
      <c r="C54" s="189"/>
      <c r="D54" s="384"/>
      <c r="E54" s="189"/>
      <c r="F54" s="189"/>
      <c r="G54" s="189"/>
      <c r="H54" s="189"/>
      <c r="I54" s="189"/>
      <c r="J54" s="189"/>
      <c r="K54" s="189"/>
      <c r="L54" s="189"/>
      <c r="M54" s="189"/>
      <c r="N54" s="189"/>
      <c r="O54" s="189"/>
      <c r="P54" s="189"/>
      <c r="Q54" s="189"/>
      <c r="R54" s="189"/>
      <c r="S54" s="189"/>
      <c r="T54" s="189"/>
      <c r="U54" s="189"/>
      <c r="V54" s="189"/>
      <c r="W54" s="189"/>
      <c r="X54" s="189"/>
      <c r="Y54" s="189"/>
      <c r="Z54" s="189"/>
      <c r="AA54" s="189"/>
      <c r="AB54" s="189"/>
      <c r="AC54" s="189"/>
      <c r="AD54" s="189"/>
      <c r="AE54" s="189"/>
      <c r="AF54" s="189"/>
      <c r="AG54" s="189"/>
      <c r="AH54" s="189"/>
      <c r="AI54" s="189"/>
      <c r="AJ54" s="189"/>
      <c r="AK54" s="189"/>
      <c r="AL54" s="189"/>
      <c r="AM54" s="189"/>
      <c r="AN54" s="189"/>
      <c r="AO54" s="189"/>
      <c r="AP54" s="189"/>
      <c r="AQ54" s="189"/>
      <c r="AR54" s="189"/>
      <c r="AS54" s="189"/>
      <c r="AT54" s="189"/>
      <c r="AU54" s="189"/>
      <c r="AV54" s="189"/>
      <c r="AW54" s="189"/>
      <c r="AX54" s="189"/>
      <c r="AY54" s="189"/>
      <c r="AZ54" s="189"/>
      <c r="BA54" s="189"/>
    </row>
    <row r="55" spans="1:53" ht="14.4" x14ac:dyDescent="0.3">
      <c r="A55" s="655"/>
      <c r="B55" s="656"/>
      <c r="C55" s="189"/>
      <c r="D55" s="384"/>
      <c r="E55" s="189"/>
      <c r="F55" s="189"/>
      <c r="G55" s="189"/>
      <c r="H55" s="189"/>
      <c r="I55" s="189"/>
      <c r="J55" s="189"/>
      <c r="K55" s="189"/>
      <c r="L55" s="189"/>
      <c r="M55" s="189"/>
      <c r="N55" s="189"/>
      <c r="O55" s="189"/>
      <c r="P55" s="189"/>
      <c r="Q55" s="189"/>
      <c r="R55" s="189"/>
      <c r="S55" s="189"/>
      <c r="T55" s="189"/>
      <c r="U55" s="189"/>
      <c r="V55" s="189"/>
      <c r="W55" s="189"/>
      <c r="X55" s="189"/>
      <c r="Y55" s="189"/>
      <c r="Z55" s="189"/>
      <c r="AA55" s="189"/>
      <c r="AB55" s="189"/>
      <c r="AC55" s="189"/>
      <c r="AD55" s="189"/>
      <c r="AE55" s="189"/>
      <c r="AF55" s="189"/>
      <c r="AG55" s="189"/>
      <c r="AH55" s="189"/>
      <c r="AI55" s="189"/>
      <c r="AJ55" s="189"/>
      <c r="AK55" s="189"/>
      <c r="AL55" s="189"/>
      <c r="AM55" s="189"/>
      <c r="AN55" s="189"/>
      <c r="AO55" s="189"/>
      <c r="AP55" s="189"/>
      <c r="AQ55" s="189"/>
      <c r="AR55" s="189"/>
      <c r="AS55" s="189"/>
      <c r="AT55" s="189"/>
      <c r="AU55" s="189"/>
      <c r="AV55" s="189"/>
      <c r="AW55" s="189"/>
      <c r="AX55" s="189"/>
      <c r="AY55" s="189"/>
      <c r="AZ55" s="189"/>
      <c r="BA55" s="189"/>
    </row>
    <row r="56" spans="1:53" ht="14.4" x14ac:dyDescent="0.3">
      <c r="A56" s="655"/>
      <c r="B56" s="656"/>
      <c r="C56" s="189"/>
      <c r="D56" s="384"/>
      <c r="E56" s="189"/>
      <c r="F56" s="189"/>
      <c r="G56" s="189"/>
      <c r="H56" s="189"/>
      <c r="I56" s="189"/>
      <c r="J56" s="189"/>
      <c r="K56" s="189"/>
      <c r="L56" s="189"/>
      <c r="M56" s="189"/>
      <c r="N56" s="189"/>
      <c r="O56" s="189"/>
      <c r="P56" s="189"/>
      <c r="Q56" s="189"/>
      <c r="R56" s="189"/>
      <c r="S56" s="189"/>
      <c r="T56" s="189"/>
      <c r="U56" s="189"/>
      <c r="V56" s="189"/>
      <c r="W56" s="189"/>
      <c r="X56" s="189"/>
      <c r="Y56" s="189"/>
      <c r="Z56" s="189"/>
      <c r="AA56" s="189"/>
      <c r="AB56" s="189"/>
      <c r="AC56" s="189"/>
      <c r="AD56" s="189"/>
      <c r="AE56" s="189"/>
      <c r="AF56" s="189"/>
      <c r="AG56" s="189"/>
      <c r="AH56" s="189"/>
      <c r="AI56" s="189"/>
      <c r="AJ56" s="189"/>
      <c r="AK56" s="189"/>
      <c r="AL56" s="189"/>
      <c r="AM56" s="189"/>
      <c r="AN56" s="189"/>
      <c r="AO56" s="189"/>
      <c r="AP56" s="189"/>
      <c r="AQ56" s="189"/>
      <c r="AR56" s="189"/>
      <c r="AS56" s="189"/>
      <c r="AT56" s="189"/>
      <c r="AU56" s="189"/>
      <c r="AV56" s="189"/>
      <c r="AW56" s="189"/>
      <c r="AX56" s="189"/>
      <c r="AY56" s="189"/>
      <c r="AZ56" s="189"/>
      <c r="BA56" s="189"/>
    </row>
    <row r="57" spans="1:53" x14ac:dyDescent="0.25">
      <c r="A57" s="189"/>
      <c r="B57" s="189"/>
      <c r="C57" s="189"/>
      <c r="D57" s="384"/>
      <c r="E57" s="189"/>
      <c r="F57" s="189"/>
      <c r="G57" s="189"/>
      <c r="H57" s="189"/>
      <c r="I57" s="189"/>
      <c r="J57" s="189"/>
      <c r="K57" s="189"/>
      <c r="L57" s="189"/>
      <c r="M57" s="189"/>
      <c r="N57" s="189"/>
      <c r="O57" s="189"/>
      <c r="P57" s="189"/>
      <c r="Q57" s="189"/>
      <c r="R57" s="189"/>
      <c r="S57" s="189"/>
      <c r="T57" s="189"/>
      <c r="U57" s="189"/>
      <c r="V57" s="189"/>
      <c r="W57" s="189"/>
      <c r="X57" s="189"/>
      <c r="Y57" s="189"/>
      <c r="Z57" s="189"/>
      <c r="AA57" s="189"/>
      <c r="AB57" s="189"/>
      <c r="AC57" s="189"/>
      <c r="AD57" s="189"/>
      <c r="AE57" s="189"/>
      <c r="AF57" s="189"/>
      <c r="AG57" s="189"/>
      <c r="AH57" s="189"/>
      <c r="AI57" s="189"/>
      <c r="AJ57" s="189"/>
      <c r="AK57" s="189"/>
      <c r="AL57" s="189"/>
      <c r="AM57" s="189"/>
      <c r="AN57" s="189"/>
      <c r="AO57" s="189"/>
      <c r="AP57" s="189"/>
      <c r="AQ57" s="189"/>
      <c r="AR57" s="189"/>
      <c r="AS57" s="189"/>
      <c r="AT57" s="189"/>
      <c r="AU57" s="189"/>
      <c r="AV57" s="189"/>
      <c r="AW57" s="189"/>
      <c r="AX57" s="189"/>
      <c r="AY57" s="189"/>
      <c r="AZ57" s="189"/>
      <c r="BA57" s="189"/>
    </row>
    <row r="58" spans="1:53" x14ac:dyDescent="0.25">
      <c r="A58" s="189"/>
      <c r="B58" s="189"/>
      <c r="C58" s="189"/>
      <c r="D58" s="384"/>
      <c r="E58" s="189"/>
      <c r="F58" s="189"/>
      <c r="G58" s="189"/>
      <c r="H58" s="189"/>
      <c r="I58" s="189"/>
      <c r="J58" s="189"/>
      <c r="K58" s="189"/>
      <c r="L58" s="189"/>
      <c r="M58" s="189"/>
      <c r="N58" s="189"/>
      <c r="O58" s="189"/>
      <c r="P58" s="189"/>
      <c r="Q58" s="189"/>
      <c r="R58" s="189"/>
      <c r="S58" s="189"/>
      <c r="T58" s="189"/>
      <c r="U58" s="189"/>
      <c r="V58" s="189"/>
      <c r="W58" s="189"/>
      <c r="X58" s="189"/>
      <c r="Y58" s="189"/>
      <c r="Z58" s="189"/>
      <c r="AA58" s="189"/>
      <c r="AB58" s="189"/>
      <c r="AC58" s="189"/>
      <c r="AD58" s="189"/>
      <c r="AE58" s="189"/>
      <c r="AF58" s="189"/>
      <c r="AG58" s="189"/>
      <c r="AH58" s="189"/>
      <c r="AI58" s="189"/>
      <c r="AJ58" s="189"/>
      <c r="AK58" s="189"/>
      <c r="AL58" s="189"/>
      <c r="AM58" s="189"/>
      <c r="AN58" s="189"/>
      <c r="AO58" s="189"/>
      <c r="AP58" s="189"/>
      <c r="AQ58" s="189"/>
      <c r="AR58" s="189"/>
      <c r="AS58" s="189"/>
      <c r="AT58" s="189"/>
      <c r="AU58" s="189"/>
      <c r="AV58" s="189"/>
      <c r="AW58" s="189"/>
      <c r="AX58" s="189"/>
      <c r="AY58" s="189"/>
      <c r="AZ58" s="189"/>
      <c r="BA58" s="189"/>
    </row>
    <row r="59" spans="1:53" s="653" customFormat="1" ht="17.399999999999999" x14ac:dyDescent="0.25">
      <c r="A59" s="654" t="s">
        <v>471</v>
      </c>
      <c r="B59" s="651"/>
      <c r="C59" s="651"/>
      <c r="D59" s="652"/>
      <c r="E59" s="652"/>
      <c r="F59" s="652"/>
      <c r="G59" s="652"/>
      <c r="H59" s="652"/>
      <c r="I59" s="652"/>
      <c r="J59" s="652"/>
      <c r="K59" s="652"/>
      <c r="L59" s="652"/>
      <c r="M59" s="652"/>
      <c r="N59" s="652"/>
      <c r="O59" s="652"/>
      <c r="P59" s="652"/>
      <c r="Q59" s="652"/>
      <c r="R59" s="652"/>
      <c r="S59" s="652"/>
      <c r="T59" s="652"/>
      <c r="U59" s="652"/>
      <c r="V59" s="652"/>
      <c r="W59" s="652"/>
      <c r="X59" s="651"/>
      <c r="Y59" s="651"/>
      <c r="Z59" s="651"/>
      <c r="AA59" s="651"/>
      <c r="AB59" s="651"/>
      <c r="AC59" s="651"/>
      <c r="AD59" s="651"/>
      <c r="AE59" s="651"/>
      <c r="AF59" s="651"/>
      <c r="AG59" s="651"/>
      <c r="AH59" s="651"/>
      <c r="AI59" s="651"/>
      <c r="AJ59" s="651"/>
      <c r="AK59" s="651"/>
      <c r="AL59" s="651"/>
      <c r="AM59" s="651"/>
      <c r="AN59" s="651"/>
      <c r="AO59" s="651"/>
      <c r="AP59" s="651"/>
      <c r="AQ59" s="651"/>
      <c r="AR59" s="651"/>
      <c r="AS59" s="651"/>
      <c r="AT59" s="651"/>
      <c r="AU59" s="651"/>
      <c r="AV59" s="651"/>
      <c r="AW59" s="651"/>
      <c r="AX59" s="651"/>
      <c r="AY59" s="651"/>
      <c r="AZ59" s="651"/>
      <c r="BA59" s="651"/>
    </row>
    <row r="60" spans="1:53" x14ac:dyDescent="0.25">
      <c r="A60" s="189"/>
      <c r="B60" s="189"/>
      <c r="C60" s="189"/>
      <c r="D60" s="384"/>
      <c r="E60" s="189"/>
      <c r="F60" s="189"/>
      <c r="G60" s="189"/>
      <c r="H60" s="189"/>
      <c r="I60" s="189"/>
      <c r="J60" s="189"/>
      <c r="K60" s="189"/>
      <c r="L60" s="189"/>
      <c r="M60" s="189"/>
      <c r="N60" s="189"/>
      <c r="O60" s="189"/>
      <c r="P60" s="189"/>
      <c r="Q60" s="189"/>
      <c r="R60" s="189"/>
      <c r="S60" s="189"/>
      <c r="T60" s="189"/>
      <c r="U60" s="189"/>
      <c r="V60" s="189"/>
      <c r="W60" s="189"/>
      <c r="X60" s="189"/>
      <c r="Y60" s="189"/>
      <c r="Z60" s="189"/>
      <c r="AA60" s="189"/>
      <c r="AB60" s="189"/>
      <c r="AC60" s="189"/>
      <c r="AD60" s="189"/>
      <c r="AE60" s="189"/>
      <c r="AF60" s="189"/>
      <c r="AG60" s="189"/>
      <c r="AH60" s="189"/>
      <c r="AI60" s="189"/>
      <c r="AJ60" s="189"/>
      <c r="AK60" s="189"/>
      <c r="AL60" s="189"/>
      <c r="AM60" s="189"/>
      <c r="AN60" s="189"/>
      <c r="AO60" s="189"/>
      <c r="AP60" s="189"/>
      <c r="AQ60" s="189"/>
      <c r="AR60" s="189"/>
      <c r="AS60" s="189"/>
      <c r="AT60" s="189"/>
      <c r="AU60" s="189"/>
      <c r="AV60" s="189"/>
      <c r="AW60" s="189"/>
      <c r="AX60" s="189"/>
      <c r="AY60" s="189"/>
      <c r="AZ60" s="189"/>
      <c r="BA60" s="189"/>
    </row>
    <row r="61" spans="1:53" ht="14.4" x14ac:dyDescent="0.3">
      <c r="A61" s="387" t="s">
        <v>56</v>
      </c>
      <c r="B61" s="189"/>
      <c r="C61" s="189"/>
      <c r="D61" s="384"/>
      <c r="E61" s="189"/>
      <c r="F61" s="189"/>
      <c r="G61" s="189"/>
      <c r="H61" s="189"/>
      <c r="I61" s="189"/>
      <c r="J61" s="189"/>
      <c r="K61" s="189"/>
      <c r="L61" s="189"/>
      <c r="M61" s="189"/>
      <c r="N61" s="189"/>
      <c r="O61" s="189"/>
      <c r="P61" s="189"/>
      <c r="Q61" s="189"/>
      <c r="R61" s="189"/>
      <c r="S61" s="189"/>
      <c r="T61" s="189"/>
      <c r="U61" s="189"/>
      <c r="V61" s="189"/>
      <c r="W61" s="189"/>
      <c r="X61" s="189"/>
      <c r="Y61" s="189"/>
      <c r="Z61" s="189"/>
      <c r="AA61" s="189"/>
      <c r="AB61" s="189"/>
      <c r="AC61" s="189"/>
      <c r="AD61" s="189"/>
      <c r="AE61" s="189"/>
      <c r="AF61" s="189"/>
      <c r="AG61" s="189"/>
      <c r="AH61" s="189"/>
      <c r="AI61" s="189"/>
      <c r="AJ61" s="189"/>
      <c r="AK61" s="189"/>
      <c r="AL61" s="189"/>
      <c r="AM61" s="189"/>
      <c r="AN61" s="189"/>
      <c r="AO61" s="189"/>
      <c r="AP61" s="189"/>
      <c r="AQ61" s="189"/>
      <c r="AR61" s="189"/>
      <c r="AS61" s="189"/>
      <c r="AT61" s="189"/>
      <c r="AU61" s="189"/>
      <c r="AV61" s="189"/>
      <c r="AW61" s="189"/>
      <c r="AX61" s="189"/>
      <c r="AY61" s="189"/>
      <c r="AZ61" s="189"/>
      <c r="BA61" s="189"/>
    </row>
    <row r="62" spans="1:53" s="21" customFormat="1" x14ac:dyDescent="0.25">
      <c r="A62" s="306" t="s">
        <v>57</v>
      </c>
      <c r="B62" s="306"/>
      <c r="C62" s="306"/>
      <c r="D62" s="423">
        <f>INDEX('Price indexing'!31:31,MATCH('Cash Flow Model'!D5,'Price indexing'!22:22,0))</f>
        <v>1</v>
      </c>
      <c r="E62" s="423">
        <f>INDEX('Price indexing'!31:31,MATCH('Cash Flow Model'!E5,'Price indexing'!22:22,0))</f>
        <v>1</v>
      </c>
      <c r="F62" s="423">
        <f>INDEX('Price indexing'!31:31,MATCH('Cash Flow Model'!F5,'Price indexing'!22:22,0))</f>
        <v>1</v>
      </c>
      <c r="G62" s="423">
        <f>INDEX('Price indexing'!31:31,MATCH('Cash Flow Model'!G5,'Price indexing'!22:22,0))</f>
        <v>1</v>
      </c>
      <c r="H62" s="423">
        <f>INDEX('Price indexing'!31:31,MATCH('Cash Flow Model'!H5,'Price indexing'!22:22,0))</f>
        <v>1</v>
      </c>
      <c r="I62" s="423">
        <f>INDEX('Price indexing'!31:31,MATCH('Cash Flow Model'!I5,'Price indexing'!22:22,0))</f>
        <v>1</v>
      </c>
      <c r="J62" s="423">
        <f>INDEX('Price indexing'!31:31,MATCH('Cash Flow Model'!J5,'Price indexing'!22:22,0))</f>
        <v>1</v>
      </c>
      <c r="K62" s="423">
        <f>INDEX('Price indexing'!31:31,MATCH('Cash Flow Model'!K5,'Price indexing'!22:22,0))</f>
        <v>1</v>
      </c>
      <c r="L62" s="423">
        <f>INDEX('Price indexing'!31:31,MATCH('Cash Flow Model'!L5,'Price indexing'!22:22,0))</f>
        <v>1</v>
      </c>
      <c r="M62" s="423">
        <f>INDEX('Price indexing'!31:31,MATCH('Cash Flow Model'!M5,'Price indexing'!22:22,0))</f>
        <v>1</v>
      </c>
      <c r="N62" s="423">
        <f>INDEX('Price indexing'!31:31,MATCH('Cash Flow Model'!N5,'Price indexing'!22:22,0))</f>
        <v>1</v>
      </c>
      <c r="O62" s="423">
        <f>INDEX('Price indexing'!31:31,MATCH('Cash Flow Model'!O5,'Price indexing'!22:22,0))</f>
        <v>1</v>
      </c>
      <c r="P62" s="423">
        <f>INDEX('Price indexing'!31:31,MATCH('Cash Flow Model'!P5,'Price indexing'!22:22,0))</f>
        <v>1</v>
      </c>
      <c r="Q62" s="423">
        <f>INDEX('Price indexing'!31:31,MATCH('Cash Flow Model'!Q5,'Price indexing'!22:22,0))</f>
        <v>1</v>
      </c>
      <c r="R62" s="423">
        <f>INDEX('Price indexing'!31:31,MATCH('Cash Flow Model'!R5,'Price indexing'!22:22,0))</f>
        <v>1</v>
      </c>
      <c r="S62" s="423">
        <f>INDEX('Price indexing'!31:31,MATCH('Cash Flow Model'!S5,'Price indexing'!22:22,0))</f>
        <v>1</v>
      </c>
      <c r="T62" s="423">
        <f>INDEX('Price indexing'!31:31,MATCH('Cash Flow Model'!T5,'Price indexing'!22:22,0))</f>
        <v>1</v>
      </c>
      <c r="U62" s="423">
        <f>INDEX('Price indexing'!31:31,MATCH('Cash Flow Model'!U5,'Price indexing'!22:22,0))</f>
        <v>1</v>
      </c>
      <c r="V62" s="423">
        <f>INDEX('Price indexing'!31:31,MATCH('Cash Flow Model'!V5,'Price indexing'!22:22,0))</f>
        <v>1</v>
      </c>
      <c r="W62" s="423">
        <f>INDEX('Price indexing'!31:31,MATCH('Cash Flow Model'!W5,'Price indexing'!22:22,0))</f>
        <v>1</v>
      </c>
      <c r="X62" s="423">
        <f>INDEX('Price indexing'!31:31,MATCH('Cash Flow Model'!X5,'Price indexing'!22:22,0))</f>
        <v>1</v>
      </c>
      <c r="Y62" s="423">
        <f>INDEX('Price indexing'!31:31,MATCH('Cash Flow Model'!Y5,'Price indexing'!22:22,0))</f>
        <v>1</v>
      </c>
      <c r="Z62" s="423">
        <f>INDEX('Price indexing'!31:31,MATCH('Cash Flow Model'!Z5,'Price indexing'!22:22,0))</f>
        <v>1</v>
      </c>
      <c r="AA62" s="423">
        <f>INDEX('Price indexing'!31:31,MATCH('Cash Flow Model'!AA5,'Price indexing'!22:22,0))</f>
        <v>1</v>
      </c>
      <c r="AB62" s="423">
        <f>INDEX('Price indexing'!31:31,MATCH('Cash Flow Model'!AB5,'Price indexing'!22:22,0))</f>
        <v>1</v>
      </c>
      <c r="AC62" s="423">
        <f>INDEX('Price indexing'!31:31,MATCH('Cash Flow Model'!AC5,'Price indexing'!22:22,0))</f>
        <v>1</v>
      </c>
      <c r="AD62" s="423">
        <f>INDEX('Price indexing'!31:31,MATCH('Cash Flow Model'!AD5,'Price indexing'!22:22,0))</f>
        <v>1</v>
      </c>
      <c r="AE62" s="423">
        <f>INDEX('Price indexing'!31:31,MATCH('Cash Flow Model'!AE5,'Price indexing'!22:22,0))</f>
        <v>1</v>
      </c>
      <c r="AF62" s="423">
        <f>INDEX('Price indexing'!31:31,MATCH('Cash Flow Model'!AF5,'Price indexing'!22:22,0))</f>
        <v>1</v>
      </c>
      <c r="AG62" s="423">
        <f>INDEX('Price indexing'!31:31,MATCH('Cash Flow Model'!AG5,'Price indexing'!22:22,0))</f>
        <v>1</v>
      </c>
      <c r="AH62" s="423">
        <f>INDEX('Price indexing'!31:31,MATCH('Cash Flow Model'!AH5,'Price indexing'!22:22,0))</f>
        <v>1</v>
      </c>
      <c r="AI62" s="423">
        <f>INDEX('Price indexing'!31:31,MATCH('Cash Flow Model'!AI5,'Price indexing'!22:22,0))</f>
        <v>1</v>
      </c>
      <c r="AJ62" s="423">
        <f>INDEX('Price indexing'!31:31,MATCH('Cash Flow Model'!AJ5,'Price indexing'!22:22,0))</f>
        <v>1</v>
      </c>
      <c r="AK62" s="423">
        <f>INDEX('Price indexing'!31:31,MATCH('Cash Flow Model'!AK5,'Price indexing'!22:22,0))</f>
        <v>1</v>
      </c>
      <c r="AL62" s="423">
        <f>INDEX('Price indexing'!31:31,MATCH('Cash Flow Model'!AL5,'Price indexing'!22:22,0))</f>
        <v>1</v>
      </c>
      <c r="AM62" s="423">
        <f>INDEX('Price indexing'!31:31,MATCH('Cash Flow Model'!AM5,'Price indexing'!22:22,0))</f>
        <v>1</v>
      </c>
      <c r="AN62" s="423">
        <f>INDEX('Price indexing'!31:31,MATCH('Cash Flow Model'!AN5,'Price indexing'!22:22,0))</f>
        <v>1</v>
      </c>
      <c r="AO62" s="423">
        <f>INDEX('Price indexing'!31:31,MATCH('Cash Flow Model'!AO5,'Price indexing'!22:22,0))</f>
        <v>1</v>
      </c>
      <c r="AP62" s="423">
        <f>INDEX('Price indexing'!31:31,MATCH('Cash Flow Model'!AP5,'Price indexing'!22:22,0))</f>
        <v>1</v>
      </c>
      <c r="AQ62" s="423">
        <f>INDEX('Price indexing'!31:31,MATCH('Cash Flow Model'!AQ5,'Price indexing'!22:22,0))</f>
        <v>1</v>
      </c>
      <c r="AR62" s="423">
        <f>INDEX('Price indexing'!31:31,MATCH('Cash Flow Model'!AR5,'Price indexing'!22:22,0))</f>
        <v>1</v>
      </c>
      <c r="AS62" s="423">
        <f>INDEX('Price indexing'!31:31,MATCH('Cash Flow Model'!AS5,'Price indexing'!22:22,0))</f>
        <v>1</v>
      </c>
      <c r="AT62" s="423">
        <f>INDEX('Price indexing'!31:31,MATCH('Cash Flow Model'!AT5,'Price indexing'!22:22,0))</f>
        <v>1</v>
      </c>
      <c r="AU62" s="423">
        <f>INDEX('Price indexing'!31:31,MATCH('Cash Flow Model'!AU5,'Price indexing'!22:22,0))</f>
        <v>1</v>
      </c>
      <c r="AV62" s="423">
        <f>INDEX('Price indexing'!31:31,MATCH('Cash Flow Model'!AV5,'Price indexing'!22:22,0))</f>
        <v>1</v>
      </c>
      <c r="AW62" s="423">
        <f>INDEX('Price indexing'!31:31,MATCH('Cash Flow Model'!AW5,'Price indexing'!22:22,0))</f>
        <v>1</v>
      </c>
      <c r="AX62" s="423">
        <f>INDEX('Price indexing'!31:31,MATCH('Cash Flow Model'!AX5,'Price indexing'!22:22,0))</f>
        <v>1</v>
      </c>
      <c r="AY62" s="423">
        <f>INDEX('Price indexing'!31:31,MATCH('Cash Flow Model'!AY5,'Price indexing'!22:22,0))</f>
        <v>1</v>
      </c>
      <c r="AZ62" s="423">
        <f>INDEX('Price indexing'!31:31,MATCH('Cash Flow Model'!AZ5,'Price indexing'!22:22,0))</f>
        <v>1</v>
      </c>
      <c r="BA62" s="423">
        <f>INDEX('Price indexing'!31:31,MATCH('Cash Flow Model'!BA5,'Price indexing'!22:22,0))</f>
        <v>1</v>
      </c>
    </row>
    <row r="63" spans="1:53" s="21" customFormat="1" x14ac:dyDescent="0.25">
      <c r="A63" s="306" t="s">
        <v>58</v>
      </c>
      <c r="B63" s="306" t="s">
        <v>59</v>
      </c>
      <c r="C63" s="388"/>
      <c r="D63" s="424">
        <f>'Revenue sensitivities'!$D$7*10*D62</f>
        <v>90</v>
      </c>
      <c r="E63" s="424">
        <f>'Revenue sensitivities'!$D$7*10*E62</f>
        <v>90</v>
      </c>
      <c r="F63" s="424">
        <f>'Revenue sensitivities'!$D$7*10*F62</f>
        <v>90</v>
      </c>
      <c r="G63" s="424">
        <f>'Revenue sensitivities'!$D$7*10*G62</f>
        <v>90</v>
      </c>
      <c r="H63" s="424">
        <f>'Revenue sensitivities'!$D$7*10*H62</f>
        <v>90</v>
      </c>
      <c r="I63" s="424">
        <f>'Revenue sensitivities'!$D$7*10*I62</f>
        <v>90</v>
      </c>
      <c r="J63" s="424">
        <f>'Revenue sensitivities'!$D$7*10*J62</f>
        <v>90</v>
      </c>
      <c r="K63" s="424">
        <f>'Revenue sensitivities'!$D$7*10*K62</f>
        <v>90</v>
      </c>
      <c r="L63" s="424">
        <f>'Revenue sensitivities'!$D$7*10*L62</f>
        <v>90</v>
      </c>
      <c r="M63" s="424">
        <f>'Revenue sensitivities'!$D$7*10*M62</f>
        <v>90</v>
      </c>
      <c r="N63" s="424">
        <f>'Revenue sensitivities'!$D$7*10*N62</f>
        <v>90</v>
      </c>
      <c r="O63" s="424">
        <f>'Revenue sensitivities'!$D$7*10*O62</f>
        <v>90</v>
      </c>
      <c r="P63" s="424">
        <f>'Revenue sensitivities'!$D$7*10*P62</f>
        <v>90</v>
      </c>
      <c r="Q63" s="424">
        <f>'Revenue sensitivities'!$D$7*10*Q62</f>
        <v>90</v>
      </c>
      <c r="R63" s="424">
        <f>'Revenue sensitivities'!$D$7*10*R62</f>
        <v>90</v>
      </c>
      <c r="S63" s="424">
        <f>'Revenue sensitivities'!$D$7*10*S62</f>
        <v>90</v>
      </c>
      <c r="T63" s="424">
        <f>'Revenue sensitivities'!$D$7*10*T62</f>
        <v>90</v>
      </c>
      <c r="U63" s="424">
        <f>'Revenue sensitivities'!$D$7*10*U62</f>
        <v>90</v>
      </c>
      <c r="V63" s="424">
        <f>'Revenue sensitivities'!$D$7*10*V62</f>
        <v>90</v>
      </c>
      <c r="W63" s="424">
        <f>'Revenue sensitivities'!$D$7*10*W62</f>
        <v>90</v>
      </c>
      <c r="X63" s="424">
        <f>'Revenue sensitivities'!$D$7*10*X62</f>
        <v>90</v>
      </c>
      <c r="Y63" s="424">
        <f>'Revenue sensitivities'!$D$7*10*Y62</f>
        <v>90</v>
      </c>
      <c r="Z63" s="424">
        <f>'Revenue sensitivities'!$D$7*10*Z62</f>
        <v>90</v>
      </c>
      <c r="AA63" s="424">
        <f>'Revenue sensitivities'!$D$7*10*AA62</f>
        <v>90</v>
      </c>
      <c r="AB63" s="424">
        <f>'Revenue sensitivities'!$D$7*10*AB62</f>
        <v>90</v>
      </c>
      <c r="AC63" s="424">
        <f>'Revenue sensitivities'!$D$7*10*AC62</f>
        <v>90</v>
      </c>
      <c r="AD63" s="424">
        <f>'Revenue sensitivities'!$D$7*10*AD62</f>
        <v>90</v>
      </c>
      <c r="AE63" s="424">
        <f>'Revenue sensitivities'!$D$7*10*AE62</f>
        <v>90</v>
      </c>
      <c r="AF63" s="424">
        <f>'Revenue sensitivities'!$D$7*10*AF62</f>
        <v>90</v>
      </c>
      <c r="AG63" s="424">
        <f>'Revenue sensitivities'!$D$7*10*AG62</f>
        <v>90</v>
      </c>
      <c r="AH63" s="424">
        <f>'Revenue sensitivities'!$D$7*10*AH62</f>
        <v>90</v>
      </c>
      <c r="AI63" s="424">
        <f>'Revenue sensitivities'!$D$7*10*AI62</f>
        <v>90</v>
      </c>
      <c r="AJ63" s="424">
        <f>'Revenue sensitivities'!$D$7*10*AJ62</f>
        <v>90</v>
      </c>
      <c r="AK63" s="424">
        <f>'Revenue sensitivities'!$D$7*10*AK62</f>
        <v>90</v>
      </c>
      <c r="AL63" s="424">
        <f>'Revenue sensitivities'!$D$7*10*AL62</f>
        <v>90</v>
      </c>
      <c r="AM63" s="424">
        <f>'Revenue sensitivities'!$D$7*10*AM62</f>
        <v>90</v>
      </c>
      <c r="AN63" s="424">
        <f>'Revenue sensitivities'!$D$7*10*AN62</f>
        <v>90</v>
      </c>
      <c r="AO63" s="424">
        <f>'Revenue sensitivities'!$D$7*10*AO62</f>
        <v>90</v>
      </c>
      <c r="AP63" s="424">
        <f>'Revenue sensitivities'!$D$7*10*AP62</f>
        <v>90</v>
      </c>
      <c r="AQ63" s="424">
        <f>'Revenue sensitivities'!$D$7*10*AQ62</f>
        <v>90</v>
      </c>
      <c r="AR63" s="424">
        <f>'Revenue sensitivities'!$D$7*10*AR62</f>
        <v>90</v>
      </c>
      <c r="AS63" s="424">
        <f>'Revenue sensitivities'!$D$7*10*AS62</f>
        <v>90</v>
      </c>
      <c r="AT63" s="424">
        <f>'Revenue sensitivities'!$D$7*10*AT62</f>
        <v>90</v>
      </c>
      <c r="AU63" s="424">
        <f>'Revenue sensitivities'!$D$7*10*AU62</f>
        <v>90</v>
      </c>
      <c r="AV63" s="424">
        <f>'Revenue sensitivities'!$D$7*10*AV62</f>
        <v>90</v>
      </c>
      <c r="AW63" s="424">
        <f>'Revenue sensitivities'!$D$7*10*AW62</f>
        <v>90</v>
      </c>
      <c r="AX63" s="424">
        <f>'Revenue sensitivities'!$D$7*10*AX62</f>
        <v>90</v>
      </c>
      <c r="AY63" s="424">
        <f>'Revenue sensitivities'!$D$7*10*AY62</f>
        <v>90</v>
      </c>
      <c r="AZ63" s="424">
        <f>'Revenue sensitivities'!$D$7*10*AZ62</f>
        <v>90</v>
      </c>
      <c r="BA63" s="424">
        <f>'Revenue sensitivities'!$D$7*10*BA62</f>
        <v>90</v>
      </c>
    </row>
    <row r="64" spans="1:53" s="21" customFormat="1" x14ac:dyDescent="0.25">
      <c r="A64" s="306" t="s">
        <v>242</v>
      </c>
      <c r="B64" s="306" t="s">
        <v>59</v>
      </c>
      <c r="C64" s="388"/>
      <c r="D64" s="424">
        <f>'Revenue sensitivities'!$D$8*10*D62</f>
        <v>60</v>
      </c>
      <c r="E64" s="424">
        <f>'Revenue sensitivities'!$D$8*10*E62</f>
        <v>60</v>
      </c>
      <c r="F64" s="424">
        <f>'Revenue sensitivities'!$D$8*10*F62</f>
        <v>60</v>
      </c>
      <c r="G64" s="424">
        <f>'Revenue sensitivities'!$D$8*10*G62</f>
        <v>60</v>
      </c>
      <c r="H64" s="424">
        <f>'Revenue sensitivities'!$D$8*10*H62</f>
        <v>60</v>
      </c>
      <c r="I64" s="424">
        <f>'Revenue sensitivities'!$D$8*10*I62</f>
        <v>60</v>
      </c>
      <c r="J64" s="424">
        <f>'Revenue sensitivities'!$D$8*10*J62</f>
        <v>60</v>
      </c>
      <c r="K64" s="424">
        <f>'Revenue sensitivities'!$D$8*10*K62</f>
        <v>60</v>
      </c>
      <c r="L64" s="424">
        <f>'Revenue sensitivities'!$D$8*10*L62</f>
        <v>60</v>
      </c>
      <c r="M64" s="424">
        <f>'Revenue sensitivities'!$D$8*10*M62</f>
        <v>60</v>
      </c>
      <c r="N64" s="424">
        <f>'Revenue sensitivities'!$D$8*10*N62</f>
        <v>60</v>
      </c>
      <c r="O64" s="424">
        <f>'Revenue sensitivities'!$D$8*10*O62</f>
        <v>60</v>
      </c>
      <c r="P64" s="424">
        <f>'Revenue sensitivities'!$D$8*10*P62</f>
        <v>60</v>
      </c>
      <c r="Q64" s="424">
        <f>'Revenue sensitivities'!$D$8*10*Q62</f>
        <v>60</v>
      </c>
      <c r="R64" s="424">
        <f>'Revenue sensitivities'!$D$8*10*R62</f>
        <v>60</v>
      </c>
      <c r="S64" s="424">
        <f>'Revenue sensitivities'!$D$8*10*S62</f>
        <v>60</v>
      </c>
      <c r="T64" s="424">
        <f>'Revenue sensitivities'!$D$8*10*T62</f>
        <v>60</v>
      </c>
      <c r="U64" s="424">
        <f>'Revenue sensitivities'!$D$8*10*U62</f>
        <v>60</v>
      </c>
      <c r="V64" s="424">
        <f>'Revenue sensitivities'!$D$8*10*V62</f>
        <v>60</v>
      </c>
      <c r="W64" s="424">
        <f>'Revenue sensitivities'!$D$8*10*W62</f>
        <v>60</v>
      </c>
      <c r="X64" s="424">
        <f>'Revenue sensitivities'!$D$8*10*X62</f>
        <v>60</v>
      </c>
      <c r="Y64" s="424">
        <f>'Revenue sensitivities'!$D$8*10*Y62</f>
        <v>60</v>
      </c>
      <c r="Z64" s="424">
        <f>'Revenue sensitivities'!$D$8*10*Z62</f>
        <v>60</v>
      </c>
      <c r="AA64" s="424">
        <f>'Revenue sensitivities'!$D$8*10*AA62</f>
        <v>60</v>
      </c>
      <c r="AB64" s="424">
        <f>'Revenue sensitivities'!$D$8*10*AB62</f>
        <v>60</v>
      </c>
      <c r="AC64" s="424">
        <f>'Revenue sensitivities'!$D$8*10*AC62</f>
        <v>60</v>
      </c>
      <c r="AD64" s="424">
        <f>'Revenue sensitivities'!$D$8*10*AD62</f>
        <v>60</v>
      </c>
      <c r="AE64" s="424">
        <f>'Revenue sensitivities'!$D$8*10*AE62</f>
        <v>60</v>
      </c>
      <c r="AF64" s="424">
        <f>'Revenue sensitivities'!$D$8*10*AF62</f>
        <v>60</v>
      </c>
      <c r="AG64" s="424">
        <f>'Revenue sensitivities'!$D$8*10*AG62</f>
        <v>60</v>
      </c>
      <c r="AH64" s="424">
        <f>'Revenue sensitivities'!$D$8*10*AH62</f>
        <v>60</v>
      </c>
      <c r="AI64" s="424">
        <f>'Revenue sensitivities'!$D$8*10*AI62</f>
        <v>60</v>
      </c>
      <c r="AJ64" s="424">
        <f>'Revenue sensitivities'!$D$8*10*AJ62</f>
        <v>60</v>
      </c>
      <c r="AK64" s="424">
        <f>'Revenue sensitivities'!$D$8*10*AK62</f>
        <v>60</v>
      </c>
      <c r="AL64" s="424">
        <f>'Revenue sensitivities'!$D$8*10*AL62</f>
        <v>60</v>
      </c>
      <c r="AM64" s="424">
        <f>'Revenue sensitivities'!$D$8*10*AM62</f>
        <v>60</v>
      </c>
      <c r="AN64" s="424">
        <f>'Revenue sensitivities'!$D$8*10*AN62</f>
        <v>60</v>
      </c>
      <c r="AO64" s="424">
        <f>'Revenue sensitivities'!$D$8*10*AO62</f>
        <v>60</v>
      </c>
      <c r="AP64" s="424">
        <f>'Revenue sensitivities'!$D$8*10*AP62</f>
        <v>60</v>
      </c>
      <c r="AQ64" s="424">
        <f>'Revenue sensitivities'!$D$8*10*AQ62</f>
        <v>60</v>
      </c>
      <c r="AR64" s="424">
        <f>'Revenue sensitivities'!$D$8*10*AR62</f>
        <v>60</v>
      </c>
      <c r="AS64" s="424">
        <f>'Revenue sensitivities'!$D$8*10*AS62</f>
        <v>60</v>
      </c>
      <c r="AT64" s="424">
        <f>'Revenue sensitivities'!$D$8*10*AT62</f>
        <v>60</v>
      </c>
      <c r="AU64" s="424">
        <f>'Revenue sensitivities'!$D$8*10*AU62</f>
        <v>60</v>
      </c>
      <c r="AV64" s="424">
        <f>'Revenue sensitivities'!$D$8*10*AV62</f>
        <v>60</v>
      </c>
      <c r="AW64" s="424">
        <f>'Revenue sensitivities'!$D$8*10*AW62</f>
        <v>60</v>
      </c>
      <c r="AX64" s="424">
        <f>'Revenue sensitivities'!$D$8*10*AX62</f>
        <v>60</v>
      </c>
      <c r="AY64" s="424">
        <f>'Revenue sensitivities'!$D$8*10*AY62</f>
        <v>60</v>
      </c>
      <c r="AZ64" s="424">
        <f>'Revenue sensitivities'!$D$8*10*AZ62</f>
        <v>60</v>
      </c>
      <c r="BA64" s="424">
        <f>'Revenue sensitivities'!$D$8*10*BA62</f>
        <v>60</v>
      </c>
    </row>
    <row r="65" spans="1:53" s="21" customFormat="1" x14ac:dyDescent="0.25">
      <c r="A65" s="306" t="s">
        <v>60</v>
      </c>
      <c r="B65" s="306" t="s">
        <v>59</v>
      </c>
      <c r="C65" s="389"/>
      <c r="D65" s="424">
        <f>'Revenue sensitivities'!$D$9*10*D62</f>
        <v>50</v>
      </c>
      <c r="E65" s="424">
        <f>'Revenue sensitivities'!$D$9*10*E62</f>
        <v>50</v>
      </c>
      <c r="F65" s="424">
        <f>'Revenue sensitivities'!$D$9*10*F62</f>
        <v>50</v>
      </c>
      <c r="G65" s="424">
        <f>'Revenue sensitivities'!$D$9*10*G62</f>
        <v>50</v>
      </c>
      <c r="H65" s="424">
        <f>'Revenue sensitivities'!$D$9*10*H62</f>
        <v>50</v>
      </c>
      <c r="I65" s="424">
        <f>'Revenue sensitivities'!$D$9*10*I62</f>
        <v>50</v>
      </c>
      <c r="J65" s="424">
        <f>'Revenue sensitivities'!$D$9*10*J62</f>
        <v>50</v>
      </c>
      <c r="K65" s="424">
        <f>'Revenue sensitivities'!$D$9*10*K62</f>
        <v>50</v>
      </c>
      <c r="L65" s="424">
        <f>'Revenue sensitivities'!$D$9*10*L62</f>
        <v>50</v>
      </c>
      <c r="M65" s="424">
        <f>'Revenue sensitivities'!$D$9*10*M62</f>
        <v>50</v>
      </c>
      <c r="N65" s="424">
        <f>'Revenue sensitivities'!$D$9*10*N62</f>
        <v>50</v>
      </c>
      <c r="O65" s="424">
        <f>'Revenue sensitivities'!$D$9*10*O62</f>
        <v>50</v>
      </c>
      <c r="P65" s="424">
        <f>'Revenue sensitivities'!$D$9*10*P62</f>
        <v>50</v>
      </c>
      <c r="Q65" s="424">
        <f>'Revenue sensitivities'!$D$9*10*Q62</f>
        <v>50</v>
      </c>
      <c r="R65" s="424">
        <f>'Revenue sensitivities'!$D$9*10*R62</f>
        <v>50</v>
      </c>
      <c r="S65" s="424">
        <f>'Revenue sensitivities'!$D$9*10*S62</f>
        <v>50</v>
      </c>
      <c r="T65" s="424">
        <f>'Revenue sensitivities'!$D$9*10*T62</f>
        <v>50</v>
      </c>
      <c r="U65" s="424">
        <f>'Revenue sensitivities'!$D$9*10*U62</f>
        <v>50</v>
      </c>
      <c r="V65" s="424">
        <f>'Revenue sensitivities'!$D$9*10*V62</f>
        <v>50</v>
      </c>
      <c r="W65" s="424">
        <f>'Revenue sensitivities'!$D$9*10*W62</f>
        <v>50</v>
      </c>
      <c r="X65" s="424">
        <f>'Revenue sensitivities'!$D$9*10*X62</f>
        <v>50</v>
      </c>
      <c r="Y65" s="424">
        <f>'Revenue sensitivities'!$D$9*10*Y62</f>
        <v>50</v>
      </c>
      <c r="Z65" s="424">
        <f>'Revenue sensitivities'!$D$9*10*Z62</f>
        <v>50</v>
      </c>
      <c r="AA65" s="424">
        <f>'Revenue sensitivities'!$D$9*10*AA62</f>
        <v>50</v>
      </c>
      <c r="AB65" s="424">
        <f>'Revenue sensitivities'!$D$9*10*AB62</f>
        <v>50</v>
      </c>
      <c r="AC65" s="424">
        <f>'Revenue sensitivities'!$D$9*10*AC62</f>
        <v>50</v>
      </c>
      <c r="AD65" s="424">
        <f>'Revenue sensitivities'!$D$9*10*AD62</f>
        <v>50</v>
      </c>
      <c r="AE65" s="424">
        <f>'Revenue sensitivities'!$D$9*10*AE62</f>
        <v>50</v>
      </c>
      <c r="AF65" s="424">
        <f>'Revenue sensitivities'!$D$9*10*AF62</f>
        <v>50</v>
      </c>
      <c r="AG65" s="424">
        <f>'Revenue sensitivities'!$D$9*10*AG62</f>
        <v>50</v>
      </c>
      <c r="AH65" s="424">
        <f>'Revenue sensitivities'!$D$9*10*AH62</f>
        <v>50</v>
      </c>
      <c r="AI65" s="424">
        <f>'Revenue sensitivities'!$D$9*10*AI62</f>
        <v>50</v>
      </c>
      <c r="AJ65" s="424">
        <f>'Revenue sensitivities'!$D$9*10*AJ62</f>
        <v>50</v>
      </c>
      <c r="AK65" s="424">
        <f>'Revenue sensitivities'!$D$9*10*AK62</f>
        <v>50</v>
      </c>
      <c r="AL65" s="424">
        <f>'Revenue sensitivities'!$D$9*10*AL62</f>
        <v>50</v>
      </c>
      <c r="AM65" s="424">
        <f>'Revenue sensitivities'!$D$9*10*AM62</f>
        <v>50</v>
      </c>
      <c r="AN65" s="424">
        <f>'Revenue sensitivities'!$D$9*10*AN62</f>
        <v>50</v>
      </c>
      <c r="AO65" s="424">
        <f>'Revenue sensitivities'!$D$9*10*AO62</f>
        <v>50</v>
      </c>
      <c r="AP65" s="424">
        <f>'Revenue sensitivities'!$D$9*10*AP62</f>
        <v>50</v>
      </c>
      <c r="AQ65" s="424">
        <f>'Revenue sensitivities'!$D$9*10*AQ62</f>
        <v>50</v>
      </c>
      <c r="AR65" s="424">
        <f>'Revenue sensitivities'!$D$9*10*AR62</f>
        <v>50</v>
      </c>
      <c r="AS65" s="424">
        <f>'Revenue sensitivities'!$D$9*10*AS62</f>
        <v>50</v>
      </c>
      <c r="AT65" s="424">
        <f>'Revenue sensitivities'!$D$9*10*AT62</f>
        <v>50</v>
      </c>
      <c r="AU65" s="424">
        <f>'Revenue sensitivities'!$D$9*10*AU62</f>
        <v>50</v>
      </c>
      <c r="AV65" s="424">
        <f>'Revenue sensitivities'!$D$9*10*AV62</f>
        <v>50</v>
      </c>
      <c r="AW65" s="424">
        <f>'Revenue sensitivities'!$D$9*10*AW62</f>
        <v>50</v>
      </c>
      <c r="AX65" s="424">
        <f>'Revenue sensitivities'!$D$9*10*AX62</f>
        <v>50</v>
      </c>
      <c r="AY65" s="424">
        <f>'Revenue sensitivities'!$D$9*10*AY62</f>
        <v>50</v>
      </c>
      <c r="AZ65" s="424">
        <f>'Revenue sensitivities'!$D$9*10*AZ62</f>
        <v>50</v>
      </c>
      <c r="BA65" s="424">
        <f>'Revenue sensitivities'!$D$9*10*BA62</f>
        <v>50</v>
      </c>
    </row>
    <row r="66" spans="1:53" x14ac:dyDescent="0.25">
      <c r="A66" s="189"/>
      <c r="B66" s="189"/>
      <c r="C66" s="390"/>
      <c r="D66" s="391"/>
      <c r="E66" s="391"/>
      <c r="F66" s="391"/>
      <c r="G66" s="391"/>
      <c r="H66" s="391"/>
      <c r="I66" s="391"/>
      <c r="J66" s="391"/>
      <c r="K66" s="391"/>
      <c r="L66" s="391"/>
      <c r="M66" s="391"/>
      <c r="N66" s="391"/>
      <c r="O66" s="391"/>
      <c r="P66" s="391"/>
      <c r="Q66" s="391"/>
      <c r="R66" s="391"/>
      <c r="S66" s="391"/>
      <c r="T66" s="391"/>
      <c r="U66" s="391"/>
      <c r="V66" s="391"/>
      <c r="W66" s="391"/>
      <c r="X66" s="189"/>
      <c r="Y66" s="189"/>
      <c r="Z66" s="189"/>
      <c r="AA66" s="189"/>
      <c r="AB66" s="189"/>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row>
    <row r="67" spans="1:53" x14ac:dyDescent="0.25">
      <c r="A67" s="189"/>
      <c r="B67" s="189"/>
      <c r="C67" s="189"/>
      <c r="D67" s="189"/>
      <c r="E67" s="189"/>
      <c r="F67" s="189"/>
      <c r="G67" s="189"/>
      <c r="H67" s="189"/>
      <c r="I67" s="189"/>
      <c r="J67" s="189"/>
      <c r="K67" s="189"/>
      <c r="L67" s="189"/>
      <c r="M67" s="189"/>
      <c r="N67" s="189"/>
      <c r="O67" s="189"/>
      <c r="P67" s="189"/>
      <c r="Q67" s="189"/>
      <c r="R67" s="189"/>
      <c r="S67" s="189"/>
      <c r="T67" s="189"/>
      <c r="U67" s="189"/>
      <c r="V67" s="189"/>
      <c r="W67" s="189"/>
      <c r="X67" s="189"/>
      <c r="Y67" s="189"/>
      <c r="Z67" s="189"/>
      <c r="AA67" s="189"/>
      <c r="AB67" s="189"/>
      <c r="AC67" s="189"/>
      <c r="AD67" s="189"/>
      <c r="AE67" s="189"/>
      <c r="AF67" s="189"/>
      <c r="AG67" s="189"/>
      <c r="AH67" s="189"/>
      <c r="AI67" s="189"/>
      <c r="AJ67" s="189"/>
      <c r="AK67" s="189"/>
      <c r="AL67" s="189"/>
      <c r="AM67" s="189"/>
      <c r="AN67" s="189"/>
      <c r="AO67" s="189"/>
      <c r="AP67" s="189"/>
      <c r="AQ67" s="189"/>
      <c r="AR67" s="189"/>
      <c r="AS67" s="189"/>
      <c r="AT67" s="189"/>
      <c r="AU67" s="189"/>
      <c r="AV67" s="189"/>
      <c r="AW67" s="189"/>
      <c r="AX67" s="189"/>
      <c r="AY67" s="189"/>
      <c r="AZ67" s="189"/>
      <c r="BA67" s="189"/>
    </row>
    <row r="68" spans="1:53" x14ac:dyDescent="0.25">
      <c r="A68" s="192" t="s">
        <v>61</v>
      </c>
      <c r="B68" s="392"/>
      <c r="C68" s="392"/>
      <c r="D68" s="392"/>
      <c r="E68" s="392"/>
      <c r="F68" s="189"/>
      <c r="G68" s="189"/>
      <c r="H68" s="189"/>
      <c r="I68" s="189"/>
      <c r="J68" s="189"/>
      <c r="K68" s="189"/>
      <c r="L68" s="189"/>
      <c r="M68" s="189"/>
      <c r="N68" s="189"/>
      <c r="O68" s="189"/>
      <c r="P68" s="189"/>
      <c r="Q68" s="189"/>
      <c r="R68" s="189"/>
      <c r="S68" s="189"/>
      <c r="T68" s="189"/>
      <c r="U68" s="189"/>
      <c r="V68" s="189"/>
      <c r="W68" s="189"/>
      <c r="X68" s="189"/>
      <c r="Y68" s="189"/>
      <c r="Z68" s="189"/>
      <c r="AA68" s="189"/>
      <c r="AB68" s="189"/>
      <c r="AC68" s="189"/>
      <c r="AD68" s="189"/>
      <c r="AE68" s="189"/>
      <c r="AF68" s="189"/>
      <c r="AG68" s="189"/>
      <c r="AH68" s="189"/>
      <c r="AI68" s="189"/>
      <c r="AJ68" s="189"/>
      <c r="AK68" s="189"/>
      <c r="AL68" s="189"/>
      <c r="AM68" s="189"/>
      <c r="AN68" s="189"/>
      <c r="AO68" s="189"/>
      <c r="AP68" s="189"/>
      <c r="AQ68" s="189"/>
      <c r="AR68" s="189"/>
      <c r="AS68" s="189"/>
      <c r="AT68" s="189"/>
      <c r="AU68" s="189"/>
      <c r="AV68" s="189"/>
      <c r="AW68" s="189"/>
      <c r="AX68" s="189"/>
      <c r="AY68" s="189"/>
      <c r="AZ68" s="189"/>
      <c r="BA68" s="189"/>
    </row>
    <row r="69" spans="1:53" ht="39.6" x14ac:dyDescent="0.25">
      <c r="A69" s="425" t="str">
        <f>'Cash Flow Model'!B46</f>
        <v>n/a</v>
      </c>
      <c r="B69" s="426" t="str">
        <f>'Costs (by site)'!E3</f>
        <v>500kW, 
£500/acre</v>
      </c>
      <c r="C69" s="426" t="str">
        <f>'Costs (by site)'!F3</f>
        <v>500kW, 
£1000/acre</v>
      </c>
      <c r="D69" s="426" t="str">
        <f>'Costs (by site)'!G3</f>
        <v>300kW, 
£500/acre</v>
      </c>
      <c r="E69" s="427" t="str">
        <f>'Costs (by site)'!H3</f>
        <v>300kW, 
£1000/acre</v>
      </c>
      <c r="F69" s="427" t="str">
        <f>'Costs (by site)'!I3</f>
        <v>300kW, 
£500/acre (no export)</v>
      </c>
      <c r="G69" s="427" t="str">
        <f>'Costs (by site)'!J3</f>
        <v>300kW, 
£1000/acre (no export)</v>
      </c>
      <c r="H69" s="427" t="str">
        <f>'Costs (by site)'!K3</f>
        <v>500kW, 
£500/acre (no grant)</v>
      </c>
      <c r="I69" s="427" t="str">
        <f>'Costs (by site)'!L3</f>
        <v>Blank site 2</v>
      </c>
      <c r="J69" s="427" t="str">
        <f>'Costs (by site)'!M3</f>
        <v>Blank site 3</v>
      </c>
      <c r="K69" s="427" t="str">
        <f>'Costs (by site)'!N3</f>
        <v>Blank site 4</v>
      </c>
      <c r="L69" s="189"/>
      <c r="M69" s="189"/>
      <c r="N69" s="189"/>
      <c r="O69" s="189"/>
      <c r="P69" s="189"/>
      <c r="Q69" s="189"/>
      <c r="R69" s="189"/>
      <c r="S69" s="189"/>
      <c r="T69" s="189"/>
      <c r="U69" s="189"/>
      <c r="V69" s="189"/>
      <c r="W69" s="189"/>
      <c r="X69" s="189"/>
      <c r="Y69" s="189"/>
      <c r="Z69" s="189"/>
      <c r="AA69" s="189"/>
      <c r="AB69" s="189"/>
      <c r="AC69" s="189"/>
      <c r="AD69" s="189"/>
      <c r="AE69" s="189"/>
      <c r="AF69" s="189"/>
      <c r="AG69" s="189"/>
      <c r="AH69" s="189"/>
      <c r="AI69" s="189"/>
      <c r="AJ69" s="189"/>
      <c r="AK69" s="189"/>
      <c r="AL69" s="189"/>
      <c r="AM69" s="189"/>
      <c r="AN69" s="189"/>
      <c r="AO69" s="189"/>
      <c r="AP69" s="189"/>
      <c r="AQ69" s="189"/>
      <c r="AR69" s="189"/>
      <c r="AS69" s="189"/>
      <c r="AT69" s="189"/>
      <c r="AU69" s="189"/>
      <c r="AV69" s="189"/>
      <c r="AW69" s="189"/>
      <c r="AX69" s="189"/>
      <c r="AY69" s="189"/>
      <c r="AZ69" s="189"/>
      <c r="BA69" s="189"/>
    </row>
    <row r="70" spans="1:53" x14ac:dyDescent="0.25">
      <c r="A70" s="428" t="str">
        <f>'Model Results - tables (draft)'!D5</f>
        <v>9p/kWh, favourable  capex</v>
      </c>
      <c r="B70" s="429">
        <f t="dataTable" ref="B70:K81" dt2D="1" dtr="1" r1="B2" r2="B3"/>
        <v>0.10421577066165688</v>
      </c>
      <c r="C70" s="429">
        <v>9.8383297932486347E-2</v>
      </c>
      <c r="D70" s="429">
        <v>0.10776306194774188</v>
      </c>
      <c r="E70" s="429">
        <v>0.10107138064548304</v>
      </c>
      <c r="F70" s="429">
        <v>0.11908814778935173</v>
      </c>
      <c r="G70" s="429">
        <v>0.11632718042324841</v>
      </c>
      <c r="H70" s="429">
        <v>2.7860682236890311E-2</v>
      </c>
      <c r="I70" s="429" t="str">
        <v>n/a</v>
      </c>
      <c r="J70" s="429" t="str">
        <v>n/a</v>
      </c>
      <c r="K70" s="429" t="str">
        <v>n/a</v>
      </c>
      <c r="L70" s="189"/>
      <c r="M70" s="189"/>
      <c r="N70" s="189"/>
      <c r="O70" s="189"/>
      <c r="P70" s="189"/>
      <c r="Q70" s="189"/>
      <c r="R70" s="189"/>
      <c r="S70" s="189"/>
      <c r="T70" s="189"/>
      <c r="U70" s="189"/>
      <c r="V70" s="189"/>
      <c r="W70" s="189"/>
      <c r="X70" s="189"/>
      <c r="Y70" s="189"/>
      <c r="Z70" s="189"/>
      <c r="AA70" s="189"/>
      <c r="AB70" s="189"/>
      <c r="AC70" s="189"/>
      <c r="AD70" s="189"/>
      <c r="AE70" s="189"/>
      <c r="AF70" s="189"/>
      <c r="AG70" s="189"/>
      <c r="AH70" s="189"/>
      <c r="AI70" s="189"/>
      <c r="AJ70" s="189"/>
      <c r="AK70" s="189"/>
      <c r="AL70" s="189"/>
      <c r="AM70" s="189"/>
      <c r="AN70" s="189"/>
      <c r="AO70" s="189"/>
      <c r="AP70" s="189"/>
      <c r="AQ70" s="189"/>
      <c r="AR70" s="189"/>
      <c r="AS70" s="189"/>
      <c r="AT70" s="189"/>
      <c r="AU70" s="189"/>
      <c r="AV70" s="189"/>
      <c r="AW70" s="189"/>
      <c r="AX70" s="189"/>
      <c r="AY70" s="189"/>
      <c r="AZ70" s="189"/>
      <c r="BA70" s="189"/>
    </row>
    <row r="71" spans="1:53" x14ac:dyDescent="0.25">
      <c r="A71" s="428" t="str">
        <f>'Model Results - tables (draft)'!D6</f>
        <v>9p/kWh, high capex</v>
      </c>
      <c r="B71" s="429">
        <v>7.3542799906212597E-2</v>
      </c>
      <c r="C71" s="429">
        <v>6.8505837370568701E-2</v>
      </c>
      <c r="D71" s="429">
        <v>7.2468412261148085E-2</v>
      </c>
      <c r="E71" s="429">
        <v>6.6804018899395468E-2</v>
      </c>
      <c r="F71" s="429">
        <v>8.1878897408004914E-2</v>
      </c>
      <c r="G71" s="429">
        <v>7.8710168792969437E-2</v>
      </c>
      <c r="H71" s="429">
        <v>9.9751859692134293E-3</v>
      </c>
      <c r="I71" s="429" t="str">
        <v>n/a</v>
      </c>
      <c r="J71" s="429" t="str">
        <v>n/a</v>
      </c>
      <c r="K71" s="429" t="str">
        <v>n/a</v>
      </c>
      <c r="L71" s="189"/>
      <c r="M71" s="189"/>
      <c r="N71" s="189"/>
      <c r="O71" s="189"/>
      <c r="P71" s="189"/>
      <c r="Q71" s="189"/>
      <c r="R71" s="189"/>
      <c r="S71" s="189"/>
      <c r="T71" s="189"/>
      <c r="U71" s="189"/>
      <c r="V71" s="189"/>
      <c r="W71" s="189"/>
      <c r="X71" s="189"/>
      <c r="Y71" s="189"/>
      <c r="Z71" s="189"/>
      <c r="AA71" s="189"/>
      <c r="AB71" s="189"/>
      <c r="AC71" s="189"/>
      <c r="AD71" s="189"/>
      <c r="AE71" s="189"/>
      <c r="AF71" s="189"/>
      <c r="AG71" s="189"/>
      <c r="AH71" s="189"/>
      <c r="AI71" s="189"/>
      <c r="AJ71" s="189"/>
      <c r="AK71" s="189"/>
      <c r="AL71" s="189"/>
      <c r="AM71" s="189"/>
      <c r="AN71" s="189"/>
      <c r="AO71" s="189"/>
      <c r="AP71" s="189"/>
      <c r="AQ71" s="189"/>
      <c r="AR71" s="189"/>
      <c r="AS71" s="189"/>
      <c r="AT71" s="189"/>
      <c r="AU71" s="189"/>
      <c r="AV71" s="189"/>
      <c r="AW71" s="189"/>
      <c r="AX71" s="189"/>
      <c r="AY71" s="189"/>
      <c r="AZ71" s="189"/>
      <c r="BA71" s="189"/>
    </row>
    <row r="72" spans="1:53" x14ac:dyDescent="0.25">
      <c r="A72" s="428" t="str">
        <f>'Model Results - tables (draft)'!D7</f>
        <v>10p/kWh, favourable  capex</v>
      </c>
      <c r="B72" s="429">
        <v>0.11732487927659663</v>
      </c>
      <c r="C72" s="429">
        <v>0.11172254873909893</v>
      </c>
      <c r="D72" s="429">
        <v>0.12277268369144378</v>
      </c>
      <c r="E72" s="429">
        <v>0.11637277941678392</v>
      </c>
      <c r="F72" s="429">
        <v>0.13730140799431356</v>
      </c>
      <c r="G72" s="429">
        <v>0.13519008438633562</v>
      </c>
      <c r="H72" s="429">
        <v>3.9098340970497025E-2</v>
      </c>
      <c r="I72" s="429" t="str">
        <v>n/a</v>
      </c>
      <c r="J72" s="429" t="str">
        <v>n/a</v>
      </c>
      <c r="K72" s="429" t="str">
        <v>n/a</v>
      </c>
      <c r="L72" s="189"/>
      <c r="M72" s="189"/>
      <c r="N72" s="189"/>
      <c r="O72" s="189"/>
      <c r="P72" s="189"/>
      <c r="Q72" s="189"/>
      <c r="R72" s="189"/>
      <c r="S72" s="189"/>
      <c r="T72" s="189"/>
      <c r="U72" s="189"/>
      <c r="V72" s="189"/>
      <c r="W72" s="189"/>
      <c r="X72" s="189"/>
      <c r="Y72" s="189"/>
      <c r="Z72" s="189"/>
      <c r="AA72" s="189"/>
      <c r="AB72" s="189"/>
      <c r="AC72" s="189"/>
      <c r="AD72" s="189"/>
      <c r="AE72" s="189"/>
      <c r="AF72" s="189"/>
      <c r="AG72" s="189"/>
      <c r="AH72" s="189"/>
      <c r="AI72" s="189"/>
      <c r="AJ72" s="189"/>
      <c r="AK72" s="189"/>
      <c r="AL72" s="189"/>
      <c r="AM72" s="189"/>
      <c r="AN72" s="189"/>
      <c r="AO72" s="189"/>
      <c r="AP72" s="189"/>
      <c r="AQ72" s="189"/>
      <c r="AR72" s="189"/>
      <c r="AS72" s="189"/>
      <c r="AT72" s="189"/>
      <c r="AU72" s="189"/>
      <c r="AV72" s="189"/>
      <c r="AW72" s="189"/>
      <c r="AX72" s="189"/>
      <c r="AY72" s="189"/>
      <c r="AZ72" s="189"/>
      <c r="BA72" s="189"/>
    </row>
    <row r="73" spans="1:53" x14ac:dyDescent="0.25">
      <c r="A73" s="428" t="str">
        <f>'Model Results - tables (draft)'!D8</f>
        <v>10p/kWh, high capex</v>
      </c>
      <c r="B73" s="429">
        <v>8.4677604136556006E-2</v>
      </c>
      <c r="C73" s="429">
        <v>7.9883795955875581E-2</v>
      </c>
      <c r="D73" s="429">
        <v>8.4922732983285121E-2</v>
      </c>
      <c r="E73" s="429">
        <v>7.9569326882912073E-2</v>
      </c>
      <c r="F73" s="429">
        <v>9.6843177966092986E-2</v>
      </c>
      <c r="G73" s="429">
        <v>9.4174355905222829E-2</v>
      </c>
      <c r="H73" s="429">
        <v>2.0237333529373513E-2</v>
      </c>
      <c r="I73" s="429" t="str">
        <v>n/a</v>
      </c>
      <c r="J73" s="429" t="str">
        <v>n/a</v>
      </c>
      <c r="K73" s="429" t="str">
        <v>n/a</v>
      </c>
      <c r="L73" s="189"/>
      <c r="M73" s="189"/>
      <c r="N73" s="189"/>
      <c r="O73" s="189"/>
      <c r="P73" s="189"/>
      <c r="Q73" s="189"/>
      <c r="R73" s="189"/>
      <c r="S73" s="189"/>
      <c r="T73" s="189"/>
      <c r="U73" s="189"/>
      <c r="V73" s="189"/>
      <c r="W73" s="189"/>
      <c r="X73" s="189"/>
      <c r="Y73" s="189"/>
      <c r="Z73" s="189"/>
      <c r="AA73" s="189"/>
      <c r="AB73" s="189"/>
      <c r="AC73" s="189"/>
      <c r="AD73" s="189"/>
      <c r="AE73" s="189"/>
      <c r="AF73" s="189"/>
      <c r="AG73" s="189"/>
      <c r="AH73" s="189"/>
      <c r="AI73" s="189"/>
      <c r="AJ73" s="189"/>
      <c r="AK73" s="189"/>
      <c r="AL73" s="189"/>
      <c r="AM73" s="189"/>
      <c r="AN73" s="189"/>
      <c r="AO73" s="189"/>
      <c r="AP73" s="189"/>
      <c r="AQ73" s="189"/>
      <c r="AR73" s="189"/>
      <c r="AS73" s="189"/>
      <c r="AT73" s="189"/>
      <c r="AU73" s="189"/>
      <c r="AV73" s="189"/>
      <c r="AW73" s="189"/>
      <c r="AX73" s="189"/>
      <c r="AY73" s="189"/>
      <c r="AZ73" s="189"/>
      <c r="BA73" s="189"/>
    </row>
    <row r="74" spans="1:53" x14ac:dyDescent="0.25">
      <c r="A74" s="428" t="str">
        <f>'Model Results - tables (draft)'!D9</f>
        <v>12p/kWh, favourable  capex</v>
      </c>
      <c r="B74" s="429">
        <v>0.14241284338737725</v>
      </c>
      <c r="C74" s="429">
        <v>0.13713944514858034</v>
      </c>
      <c r="D74" s="429">
        <v>0.15140380627329386</v>
      </c>
      <c r="E74" s="429">
        <v>0.14540336331951909</v>
      </c>
      <c r="F74" s="429">
        <v>0.17207048273216574</v>
      </c>
      <c r="G74" s="429">
        <v>0.17108001243158588</v>
      </c>
      <c r="H74" s="429">
        <v>5.9530968582685695E-2</v>
      </c>
      <c r="I74" s="429" t="str">
        <v>n/a</v>
      </c>
      <c r="J74" s="429" t="str">
        <v>n/a</v>
      </c>
      <c r="K74" s="429" t="str">
        <v>n/a</v>
      </c>
      <c r="L74" s="189"/>
      <c r="M74" s="189"/>
      <c r="N74" s="189"/>
      <c r="O74" s="189"/>
      <c r="P74" s="189"/>
      <c r="Q74" s="189"/>
      <c r="R74" s="189"/>
      <c r="S74" s="189"/>
      <c r="T74" s="189"/>
      <c r="U74" s="189"/>
      <c r="V74" s="189"/>
      <c r="W74" s="189"/>
      <c r="X74" s="189"/>
      <c r="Y74" s="189"/>
      <c r="Z74" s="189"/>
      <c r="AA74" s="189"/>
      <c r="AB74" s="189"/>
      <c r="AC74" s="189"/>
      <c r="AD74" s="189"/>
      <c r="AE74" s="189"/>
      <c r="AF74" s="189"/>
      <c r="AG74" s="189"/>
      <c r="AH74" s="189"/>
      <c r="AI74" s="189"/>
      <c r="AJ74" s="189"/>
      <c r="AK74" s="189"/>
      <c r="AL74" s="189"/>
      <c r="AM74" s="189"/>
      <c r="AN74" s="189"/>
      <c r="AO74" s="189"/>
      <c r="AP74" s="189"/>
      <c r="AQ74" s="189"/>
      <c r="AR74" s="189"/>
      <c r="AS74" s="189"/>
      <c r="AT74" s="189"/>
      <c r="AU74" s="189"/>
      <c r="AV74" s="189"/>
      <c r="AW74" s="189"/>
      <c r="AX74" s="189"/>
      <c r="AY74" s="189"/>
      <c r="AZ74" s="189"/>
      <c r="BA74" s="189"/>
    </row>
    <row r="75" spans="1:53" x14ac:dyDescent="0.25">
      <c r="A75" s="428" t="str">
        <f>'Model Results - tables (draft)'!D10</f>
        <v>12p/kWh, high capex</v>
      </c>
      <c r="B75" s="429">
        <v>0.10571528824654686</v>
      </c>
      <c r="C75" s="429">
        <v>0.10127776413836154</v>
      </c>
      <c r="D75" s="429">
        <v>0.10829478519945224</v>
      </c>
      <c r="E75" s="429">
        <v>0.10338084376102774</v>
      </c>
      <c r="F75" s="429">
        <v>0.12488200682991413</v>
      </c>
      <c r="G75" s="429">
        <v>0.1230172273323451</v>
      </c>
      <c r="H75" s="429">
        <v>3.8716852783294176E-2</v>
      </c>
      <c r="I75" s="429" t="str">
        <v>n/a</v>
      </c>
      <c r="J75" s="429" t="str">
        <v>n/a</v>
      </c>
      <c r="K75" s="429" t="str">
        <v>n/a</v>
      </c>
      <c r="L75" s="189"/>
      <c r="M75" s="189"/>
      <c r="N75" s="189"/>
      <c r="O75" s="189"/>
      <c r="P75" s="189"/>
      <c r="Q75" s="189"/>
      <c r="R75" s="189"/>
      <c r="S75" s="189"/>
      <c r="T75" s="189"/>
      <c r="U75" s="189"/>
      <c r="V75" s="189"/>
      <c r="W75" s="189"/>
      <c r="X75" s="189"/>
      <c r="Y75" s="189"/>
      <c r="Z75" s="189"/>
      <c r="AA75" s="189"/>
      <c r="AB75" s="189"/>
      <c r="AC75" s="189"/>
      <c r="AD75" s="189"/>
      <c r="AE75" s="189"/>
      <c r="AF75" s="189"/>
      <c r="AG75" s="189"/>
      <c r="AH75" s="189"/>
      <c r="AI75" s="189"/>
      <c r="AJ75" s="189"/>
      <c r="AK75" s="189"/>
      <c r="AL75" s="189"/>
      <c r="AM75" s="189"/>
      <c r="AN75" s="189"/>
      <c r="AO75" s="189"/>
      <c r="AP75" s="189"/>
      <c r="AQ75" s="189"/>
      <c r="AR75" s="189"/>
      <c r="AS75" s="189"/>
      <c r="AT75" s="189"/>
      <c r="AU75" s="189"/>
      <c r="AV75" s="189"/>
      <c r="AW75" s="189"/>
      <c r="AX75" s="189"/>
      <c r="AY75" s="189"/>
      <c r="AZ75" s="189"/>
      <c r="BA75" s="189"/>
    </row>
    <row r="76" spans="1:53" x14ac:dyDescent="0.25">
      <c r="A76" s="428" t="str">
        <f>'Model Results - tables (draft)'!D11</f>
        <v>9p/kWh, mid capex, high grid</v>
      </c>
      <c r="B76" s="429">
        <v>8.4025485777498687E-2</v>
      </c>
      <c r="C76" s="429">
        <v>7.8729389422833584E-2</v>
      </c>
      <c r="D76" s="429">
        <v>7.9907833657751004E-2</v>
      </c>
      <c r="E76" s="429">
        <v>7.4040702924951463E-2</v>
      </c>
      <c r="F76" s="429">
        <v>8.9695210679356707E-2</v>
      </c>
      <c r="G76" s="429">
        <v>9.7620151176513348E-2</v>
      </c>
      <c r="H76" s="429">
        <v>1.6318613832181139E-2</v>
      </c>
      <c r="I76" s="429" t="str">
        <v>n/a</v>
      </c>
      <c r="J76" s="429" t="str">
        <v>n/a</v>
      </c>
      <c r="K76" s="429" t="str">
        <v>n/a</v>
      </c>
      <c r="L76" s="189"/>
      <c r="M76" s="189"/>
      <c r="N76" s="189"/>
      <c r="O76" s="189"/>
      <c r="P76" s="189"/>
      <c r="Q76" s="189"/>
      <c r="R76" s="189"/>
      <c r="S76" s="189"/>
      <c r="T76" s="189"/>
      <c r="U76" s="189"/>
      <c r="V76" s="189"/>
      <c r="W76" s="189"/>
      <c r="X76" s="189"/>
      <c r="Y76" s="189"/>
      <c r="Z76" s="189"/>
      <c r="AA76" s="189"/>
      <c r="AB76" s="189"/>
      <c r="AC76" s="189"/>
      <c r="AD76" s="189"/>
      <c r="AE76" s="189"/>
      <c r="AF76" s="189"/>
      <c r="AG76" s="189"/>
      <c r="AH76" s="189"/>
      <c r="AI76" s="189"/>
      <c r="AJ76" s="189"/>
      <c r="AK76" s="189"/>
      <c r="AL76" s="189"/>
      <c r="AM76" s="189"/>
      <c r="AN76" s="189"/>
      <c r="AO76" s="189"/>
      <c r="AP76" s="189"/>
      <c r="AQ76" s="189"/>
      <c r="AR76" s="189"/>
      <c r="AS76" s="189"/>
      <c r="AT76" s="189"/>
      <c r="AU76" s="189"/>
      <c r="AV76" s="189"/>
      <c r="AW76" s="189"/>
      <c r="AX76" s="189"/>
      <c r="AY76" s="189"/>
      <c r="AZ76" s="189"/>
      <c r="BA76" s="189"/>
    </row>
    <row r="77" spans="1:53" x14ac:dyDescent="0.25">
      <c r="A77" s="428" t="str">
        <f>'Model Results - tables (draft)'!D12</f>
        <v>9p/kWh, high capex, high grid</v>
      </c>
      <c r="B77" s="429">
        <v>6.8523194054921577E-2</v>
      </c>
      <c r="C77" s="429">
        <v>6.3605542199389742E-2</v>
      </c>
      <c r="D77" s="429">
        <v>6.3452205917385207E-2</v>
      </c>
      <c r="E77" s="429">
        <v>5.8023408912808438E-2</v>
      </c>
      <c r="F77" s="429">
        <v>7.2425488055223752E-2</v>
      </c>
      <c r="G77" s="429">
        <v>7.7698950643226627E-2</v>
      </c>
      <c r="H77" s="429">
        <v>6.8514514747310962E-3</v>
      </c>
      <c r="I77" s="429" t="str">
        <v>n/a</v>
      </c>
      <c r="J77" s="429" t="str">
        <v>n/a</v>
      </c>
      <c r="K77" s="429" t="str">
        <v>n/a</v>
      </c>
      <c r="L77" s="189"/>
      <c r="M77" s="189"/>
      <c r="N77" s="189"/>
      <c r="O77" s="189"/>
      <c r="P77" s="189"/>
      <c r="Q77" s="189"/>
      <c r="R77" s="189"/>
      <c r="S77" s="189"/>
      <c r="T77" s="189"/>
      <c r="U77" s="189"/>
      <c r="V77" s="189"/>
      <c r="W77" s="189"/>
      <c r="X77" s="189"/>
      <c r="Y77" s="189"/>
      <c r="Z77" s="189"/>
      <c r="AA77" s="189"/>
      <c r="AB77" s="189"/>
      <c r="AC77" s="189"/>
      <c r="AD77" s="189"/>
      <c r="AE77" s="189"/>
      <c r="AF77" s="189"/>
      <c r="AG77" s="189"/>
      <c r="AH77" s="189"/>
      <c r="AI77" s="189"/>
      <c r="AJ77" s="189"/>
      <c r="AK77" s="189"/>
      <c r="AL77" s="189"/>
      <c r="AM77" s="189"/>
      <c r="AN77" s="189"/>
      <c r="AO77" s="189"/>
      <c r="AP77" s="189"/>
      <c r="AQ77" s="189"/>
      <c r="AR77" s="189"/>
      <c r="AS77" s="189"/>
      <c r="AT77" s="189"/>
      <c r="AU77" s="189"/>
      <c r="AV77" s="189"/>
      <c r="AW77" s="189"/>
      <c r="AX77" s="189"/>
      <c r="AY77" s="189"/>
      <c r="AZ77" s="189"/>
      <c r="BA77" s="189"/>
    </row>
    <row r="78" spans="1:53" x14ac:dyDescent="0.25">
      <c r="A78" s="428" t="str">
        <f>'Model Results - tables (draft)'!D13</f>
        <v>10p/kWh, mid capex, high grid</v>
      </c>
      <c r="B78" s="429">
        <v>9.5802138076313659E-2</v>
      </c>
      <c r="C78" s="429">
        <v>9.0745523011185547E-2</v>
      </c>
      <c r="D78" s="429">
        <v>9.2864982652564709E-2</v>
      </c>
      <c r="E78" s="429">
        <v>8.730571998752068E-2</v>
      </c>
      <c r="F78" s="429">
        <v>0.10529731323664149</v>
      </c>
      <c r="G78" s="429">
        <v>0.11472112312324301</v>
      </c>
      <c r="H78" s="429">
        <v>2.6912672519812553E-2</v>
      </c>
      <c r="I78" s="429" t="str">
        <v>n/a</v>
      </c>
      <c r="J78" s="429" t="str">
        <v>n/a</v>
      </c>
      <c r="K78" s="429" t="str">
        <v>n/a</v>
      </c>
      <c r="L78" s="189"/>
      <c r="M78" s="189"/>
      <c r="N78" s="189"/>
      <c r="O78" s="189"/>
      <c r="P78" s="189"/>
      <c r="Q78" s="189"/>
      <c r="R78" s="189"/>
      <c r="S78" s="189"/>
      <c r="T78" s="189"/>
      <c r="U78" s="189"/>
      <c r="V78" s="189"/>
      <c r="W78" s="189"/>
      <c r="X78" s="189"/>
      <c r="Y78" s="189"/>
      <c r="Z78" s="189"/>
      <c r="AA78" s="189"/>
      <c r="AB78" s="189"/>
      <c r="AC78" s="189"/>
      <c r="AD78" s="189"/>
      <c r="AE78" s="189"/>
      <c r="AF78" s="189"/>
      <c r="AG78" s="189"/>
      <c r="AH78" s="189"/>
      <c r="AI78" s="189"/>
      <c r="AJ78" s="189"/>
      <c r="AK78" s="189"/>
      <c r="AL78" s="189"/>
      <c r="AM78" s="189"/>
      <c r="AN78" s="189"/>
      <c r="AO78" s="189"/>
      <c r="AP78" s="189"/>
      <c r="AQ78" s="189"/>
      <c r="AR78" s="189"/>
      <c r="AS78" s="189"/>
      <c r="AT78" s="189"/>
      <c r="AU78" s="189"/>
      <c r="AV78" s="189"/>
      <c r="AW78" s="189"/>
      <c r="AX78" s="189"/>
      <c r="AY78" s="189"/>
      <c r="AZ78" s="189"/>
      <c r="BA78" s="189"/>
    </row>
    <row r="79" spans="1:53" x14ac:dyDescent="0.25">
      <c r="A79" s="428" t="str">
        <f>'Model Results - tables (draft)'!D14</f>
        <v>10p/kWh, high capex, high grid</v>
      </c>
      <c r="B79" s="429">
        <v>7.9362991353357781E-2</v>
      </c>
      <c r="C79" s="429">
        <v>7.4689957790146533E-2</v>
      </c>
      <c r="D79" s="429">
        <v>7.5323387025580946E-2</v>
      </c>
      <c r="E79" s="429">
        <v>7.0208662064404903E-2</v>
      </c>
      <c r="F79" s="429">
        <v>8.665133340690323E-2</v>
      </c>
      <c r="G79" s="429">
        <v>9.3079836943897876E-2</v>
      </c>
      <c r="H79" s="429">
        <v>1.6955701726262706E-2</v>
      </c>
      <c r="I79" s="429" t="str">
        <v>n/a</v>
      </c>
      <c r="J79" s="429" t="str">
        <v>n/a</v>
      </c>
      <c r="K79" s="429" t="str">
        <v>n/a</v>
      </c>
      <c r="L79" s="189"/>
      <c r="M79" s="189"/>
      <c r="N79" s="189"/>
      <c r="O79" s="189"/>
      <c r="P79" s="189"/>
      <c r="Q79" s="189"/>
      <c r="R79" s="189"/>
      <c r="S79" s="189"/>
      <c r="T79" s="189"/>
      <c r="U79" s="189"/>
      <c r="V79" s="189"/>
      <c r="W79" s="189"/>
      <c r="X79" s="189"/>
      <c r="Y79" s="189"/>
      <c r="Z79" s="189"/>
      <c r="AA79" s="189"/>
      <c r="AB79" s="189"/>
      <c r="AC79" s="189"/>
      <c r="AD79" s="189"/>
      <c r="AE79" s="189"/>
      <c r="AF79" s="189"/>
      <c r="AG79" s="189"/>
      <c r="AH79" s="189"/>
      <c r="AI79" s="189"/>
      <c r="AJ79" s="189"/>
      <c r="AK79" s="189"/>
      <c r="AL79" s="189"/>
      <c r="AM79" s="189"/>
      <c r="AN79" s="189"/>
      <c r="AO79" s="189"/>
      <c r="AP79" s="189"/>
      <c r="AQ79" s="189"/>
      <c r="AR79" s="189"/>
      <c r="AS79" s="189"/>
      <c r="AT79" s="189"/>
      <c r="AU79" s="189"/>
      <c r="AV79" s="189"/>
      <c r="AW79" s="189"/>
      <c r="AX79" s="189"/>
      <c r="AY79" s="189"/>
      <c r="AZ79" s="189"/>
      <c r="BA79" s="189"/>
    </row>
    <row r="80" spans="1:53" x14ac:dyDescent="0.25">
      <c r="A80" s="428" t="str">
        <f>'Model Results - tables (draft)'!D15</f>
        <v>12p/kWh, mid capex, high grid</v>
      </c>
      <c r="B80" s="429">
        <v>0.11815328287543192</v>
      </c>
      <c r="C80" s="429">
        <v>0.11344488998298297</v>
      </c>
      <c r="D80" s="429">
        <v>0.11726810876737503</v>
      </c>
      <c r="E80" s="429">
        <v>0.11214138269452856</v>
      </c>
      <c r="F80" s="429">
        <v>0.13465301876000746</v>
      </c>
      <c r="G80" s="429">
        <v>0.14695065758603576</v>
      </c>
      <c r="H80" s="429">
        <v>4.6054356400303309E-2</v>
      </c>
      <c r="I80" s="429" t="str">
        <v>n/a</v>
      </c>
      <c r="J80" s="429" t="str">
        <v>n/a</v>
      </c>
      <c r="K80" s="429" t="str">
        <v>n/a</v>
      </c>
      <c r="L80" s="189"/>
      <c r="M80" s="189"/>
      <c r="N80" s="189"/>
      <c r="O80" s="189"/>
      <c r="P80" s="189"/>
      <c r="Q80" s="189"/>
      <c r="R80" s="189"/>
      <c r="S80" s="189"/>
      <c r="T80" s="189"/>
      <c r="U80" s="189"/>
      <c r="V80" s="189"/>
      <c r="W80" s="189"/>
      <c r="X80" s="189"/>
      <c r="Y80" s="189"/>
      <c r="Z80" s="189"/>
      <c r="AA80" s="189"/>
      <c r="AB80" s="189"/>
      <c r="AC80" s="189"/>
      <c r="AD80" s="189"/>
      <c r="AE80" s="189"/>
      <c r="AF80" s="189"/>
      <c r="AG80" s="189"/>
      <c r="AH80" s="189"/>
      <c r="AI80" s="189"/>
      <c r="AJ80" s="189"/>
      <c r="AK80" s="189"/>
      <c r="AL80" s="189"/>
      <c r="AM80" s="189"/>
      <c r="AN80" s="189"/>
      <c r="AO80" s="189"/>
      <c r="AP80" s="189"/>
      <c r="AQ80" s="189"/>
      <c r="AR80" s="189"/>
      <c r="AS80" s="189"/>
      <c r="AT80" s="189"/>
      <c r="AU80" s="189"/>
      <c r="AV80" s="189"/>
      <c r="AW80" s="189"/>
      <c r="AX80" s="189"/>
      <c r="AY80" s="189"/>
      <c r="AZ80" s="189"/>
      <c r="BA80" s="189"/>
    </row>
    <row r="81" spans="1:53" x14ac:dyDescent="0.25">
      <c r="A81" s="428" t="str">
        <f>'Model Results - tables (draft)'!D16</f>
        <v>12p/kWh, high capex, high grid</v>
      </c>
      <c r="B81" s="429">
        <v>9.9798363048144489E-2</v>
      </c>
      <c r="C81" s="429">
        <v>9.5484962961220443E-2</v>
      </c>
      <c r="D81" s="429">
        <v>9.7502928617341889E-2</v>
      </c>
      <c r="E81" s="429">
        <v>9.283487251490774E-2</v>
      </c>
      <c r="F81" s="429">
        <v>0.11316964881210101</v>
      </c>
      <c r="G81" s="429">
        <v>0.12175086785703271</v>
      </c>
      <c r="H81" s="429">
        <v>3.5121139224735476E-2</v>
      </c>
      <c r="I81" s="429" t="str">
        <v>n/a</v>
      </c>
      <c r="J81" s="429" t="str">
        <v>n/a</v>
      </c>
      <c r="K81" s="429" t="str">
        <v>n/a</v>
      </c>
      <c r="L81" s="189"/>
      <c r="M81" s="189"/>
      <c r="N81" s="189"/>
      <c r="O81" s="189"/>
      <c r="P81" s="189"/>
      <c r="Q81" s="189"/>
      <c r="R81" s="189"/>
      <c r="S81" s="189"/>
      <c r="T81" s="189"/>
      <c r="U81" s="189"/>
      <c r="V81" s="189"/>
      <c r="W81" s="189"/>
      <c r="X81" s="189"/>
      <c r="Y81" s="189"/>
      <c r="Z81" s="189"/>
      <c r="AA81" s="189"/>
      <c r="AB81" s="189"/>
      <c r="AC81" s="189"/>
      <c r="AD81" s="189"/>
      <c r="AE81" s="189"/>
      <c r="AF81" s="189"/>
      <c r="AG81" s="189"/>
      <c r="AH81" s="189"/>
      <c r="AI81" s="189"/>
      <c r="AJ81" s="189"/>
      <c r="AK81" s="189"/>
      <c r="AL81" s="189"/>
      <c r="AM81" s="189"/>
      <c r="AN81" s="189"/>
      <c r="AO81" s="189"/>
      <c r="AP81" s="189"/>
      <c r="AQ81" s="189"/>
      <c r="AR81" s="189"/>
      <c r="AS81" s="189"/>
      <c r="AT81" s="189"/>
      <c r="AU81" s="189"/>
      <c r="AV81" s="189"/>
      <c r="AW81" s="189"/>
      <c r="AX81" s="189"/>
      <c r="AY81" s="189"/>
      <c r="AZ81" s="189"/>
      <c r="BA81" s="189"/>
    </row>
    <row r="82" spans="1:53" x14ac:dyDescent="0.25">
      <c r="A82" s="393"/>
      <c r="B82" s="189"/>
      <c r="C82" s="189"/>
      <c r="D82" s="189"/>
      <c r="E82" s="189"/>
      <c r="F82" s="189"/>
      <c r="G82" s="189"/>
      <c r="H82" s="189"/>
      <c r="I82" s="189"/>
      <c r="J82" s="189"/>
      <c r="K82" s="189"/>
      <c r="L82" s="189"/>
      <c r="M82" s="189"/>
      <c r="N82" s="189"/>
      <c r="O82" s="189"/>
      <c r="P82" s="189"/>
      <c r="Q82" s="189"/>
      <c r="R82" s="189"/>
      <c r="S82" s="189"/>
      <c r="T82" s="189"/>
      <c r="U82" s="189"/>
      <c r="V82" s="189"/>
      <c r="W82" s="189"/>
      <c r="X82" s="189"/>
      <c r="Y82" s="189"/>
      <c r="Z82" s="189"/>
      <c r="AA82" s="189"/>
      <c r="AB82" s="189"/>
      <c r="AC82" s="189"/>
      <c r="AD82" s="189"/>
      <c r="AE82" s="189"/>
      <c r="AF82" s="189"/>
      <c r="AG82" s="189"/>
      <c r="AH82" s="189"/>
      <c r="AI82" s="189"/>
      <c r="AJ82" s="189"/>
      <c r="AK82" s="189"/>
      <c r="AL82" s="189"/>
      <c r="AM82" s="189"/>
      <c r="AN82" s="189"/>
      <c r="AO82" s="189"/>
      <c r="AP82" s="189"/>
      <c r="AQ82" s="189"/>
      <c r="AR82" s="189"/>
      <c r="AS82" s="189"/>
      <c r="AT82" s="189"/>
      <c r="AU82" s="189"/>
      <c r="AV82" s="189"/>
      <c r="AW82" s="189"/>
      <c r="AX82" s="189"/>
      <c r="AY82" s="189"/>
      <c r="AZ82" s="189"/>
      <c r="BA82" s="189"/>
    </row>
    <row r="83" spans="1:53" x14ac:dyDescent="0.25">
      <c r="A83" s="189"/>
      <c r="B83" s="189"/>
      <c r="C83" s="189"/>
      <c r="D83" s="189"/>
      <c r="E83" s="189"/>
      <c r="F83" s="189"/>
      <c r="G83" s="189"/>
      <c r="H83" s="189"/>
      <c r="I83" s="189"/>
      <c r="J83" s="189"/>
      <c r="K83" s="189"/>
      <c r="L83" s="189"/>
      <c r="M83" s="189"/>
      <c r="N83" s="189"/>
      <c r="O83" s="189"/>
      <c r="P83" s="189"/>
      <c r="Q83" s="189"/>
      <c r="R83" s="189"/>
      <c r="S83" s="189"/>
      <c r="T83" s="189"/>
      <c r="U83" s="189"/>
      <c r="V83" s="189"/>
      <c r="W83" s="189"/>
      <c r="X83" s="189"/>
      <c r="Y83" s="189"/>
      <c r="Z83" s="189"/>
      <c r="AA83" s="189"/>
      <c r="AB83" s="189"/>
      <c r="AC83" s="189"/>
      <c r="AD83" s="189"/>
      <c r="AE83" s="189"/>
      <c r="AF83" s="189"/>
      <c r="AG83" s="189"/>
      <c r="AH83" s="189"/>
      <c r="AI83" s="189"/>
      <c r="AJ83" s="189"/>
      <c r="AK83" s="189"/>
      <c r="AL83" s="189"/>
      <c r="AM83" s="189"/>
      <c r="AN83" s="189"/>
      <c r="AO83" s="189"/>
      <c r="AP83" s="189"/>
      <c r="AQ83" s="189"/>
      <c r="AR83" s="189"/>
      <c r="AS83" s="189"/>
      <c r="AT83" s="189"/>
      <c r="AU83" s="189"/>
      <c r="AV83" s="189"/>
      <c r="AW83" s="189"/>
      <c r="AX83" s="189"/>
      <c r="AY83" s="189"/>
      <c r="AZ83" s="189"/>
      <c r="BA83" s="189"/>
    </row>
    <row r="84" spans="1:53" x14ac:dyDescent="0.25">
      <c r="A84" s="394" t="s">
        <v>213</v>
      </c>
      <c r="B84" s="189"/>
      <c r="C84" s="189"/>
      <c r="D84" s="189"/>
      <c r="E84" s="189"/>
      <c r="F84" s="189"/>
      <c r="G84" s="189"/>
      <c r="H84" s="189"/>
      <c r="I84" s="189"/>
      <c r="J84" s="189"/>
      <c r="K84" s="189"/>
      <c r="L84" s="189"/>
      <c r="M84" s="189"/>
      <c r="N84" s="189"/>
      <c r="O84" s="189"/>
      <c r="P84" s="189"/>
      <c r="Q84" s="189"/>
      <c r="R84" s="189"/>
      <c r="S84" s="189"/>
      <c r="T84" s="189"/>
      <c r="U84" s="189"/>
      <c r="V84" s="189"/>
      <c r="W84" s="189"/>
      <c r="X84" s="189"/>
      <c r="Y84" s="189"/>
      <c r="Z84" s="189"/>
      <c r="AA84" s="189"/>
      <c r="AB84" s="189"/>
      <c r="AC84" s="189"/>
      <c r="AD84" s="189"/>
      <c r="AE84" s="189"/>
      <c r="AF84" s="189"/>
      <c r="AG84" s="189"/>
      <c r="AH84" s="189"/>
      <c r="AI84" s="189"/>
      <c r="AJ84" s="189"/>
      <c r="AK84" s="189"/>
      <c r="AL84" s="189"/>
      <c r="AM84" s="189"/>
      <c r="AN84" s="189"/>
      <c r="AO84" s="189"/>
      <c r="AP84" s="189"/>
      <c r="AQ84" s="189"/>
      <c r="AR84" s="189"/>
      <c r="AS84" s="189"/>
      <c r="AT84" s="189"/>
      <c r="AU84" s="189"/>
      <c r="AV84" s="189"/>
      <c r="AW84" s="189"/>
      <c r="AX84" s="189"/>
      <c r="AY84" s="189"/>
      <c r="AZ84" s="189"/>
      <c r="BA84" s="189"/>
    </row>
    <row r="85" spans="1:53" ht="39.6" x14ac:dyDescent="0.25">
      <c r="A85" s="430">
        <f>B43/'Global assumptions'!D7</f>
        <v>0</v>
      </c>
      <c r="B85" s="426" t="str">
        <f>B69</f>
        <v>500kW, 
£500/acre</v>
      </c>
      <c r="C85" s="426" t="str">
        <f t="shared" ref="C85:K85" si="10">C69</f>
        <v>500kW, 
£1000/acre</v>
      </c>
      <c r="D85" s="426" t="str">
        <f t="shared" si="10"/>
        <v>300kW, 
£500/acre</v>
      </c>
      <c r="E85" s="427" t="str">
        <f t="shared" si="10"/>
        <v>300kW, 
£1000/acre</v>
      </c>
      <c r="F85" s="427" t="str">
        <f t="shared" si="10"/>
        <v>300kW, 
£500/acre (no export)</v>
      </c>
      <c r="G85" s="427" t="str">
        <f t="shared" si="10"/>
        <v>300kW, 
£1000/acre (no export)</v>
      </c>
      <c r="H85" s="427" t="str">
        <f t="shared" si="10"/>
        <v>500kW, 
£500/acre (no grant)</v>
      </c>
      <c r="I85" s="427" t="str">
        <f t="shared" si="10"/>
        <v>Blank site 2</v>
      </c>
      <c r="J85" s="427" t="str">
        <f t="shared" si="10"/>
        <v>Blank site 3</v>
      </c>
      <c r="K85" s="427" t="str">
        <f t="shared" si="10"/>
        <v>Blank site 4</v>
      </c>
      <c r="L85" s="189"/>
      <c r="M85" s="189"/>
      <c r="N85" s="189"/>
      <c r="O85" s="189"/>
      <c r="P85" s="189"/>
      <c r="Q85" s="189"/>
      <c r="R85" s="189"/>
      <c r="S85" s="189"/>
      <c r="T85" s="189"/>
      <c r="U85" s="189"/>
      <c r="V85" s="189"/>
      <c r="W85" s="189"/>
      <c r="X85" s="189"/>
      <c r="Y85" s="189"/>
      <c r="Z85" s="189"/>
      <c r="AA85" s="189"/>
      <c r="AB85" s="189"/>
      <c r="AC85" s="189"/>
      <c r="AD85" s="189"/>
      <c r="AE85" s="189"/>
      <c r="AF85" s="189"/>
      <c r="AG85" s="189"/>
      <c r="AH85" s="189"/>
      <c r="AI85" s="189"/>
      <c r="AJ85" s="189"/>
      <c r="AK85" s="189"/>
      <c r="AL85" s="189"/>
      <c r="AM85" s="189"/>
      <c r="AN85" s="189"/>
      <c r="AO85" s="189"/>
      <c r="AP85" s="189"/>
      <c r="AQ85" s="189"/>
      <c r="AR85" s="189"/>
      <c r="AS85" s="189"/>
      <c r="AT85" s="189"/>
      <c r="AU85" s="189"/>
      <c r="AV85" s="189"/>
      <c r="AW85" s="189"/>
      <c r="AX85" s="189"/>
      <c r="AY85" s="189"/>
      <c r="AZ85" s="189"/>
      <c r="BA85" s="189"/>
    </row>
    <row r="86" spans="1:53" x14ac:dyDescent="0.25">
      <c r="A86" s="428" t="str">
        <f>A70</f>
        <v>9p/kWh, favourable  capex</v>
      </c>
      <c r="B86" s="431">
        <f t="dataTable" ref="B86:K97" dt2D="1" dtr="1" r1="B2" r2="B3" ca="1"/>
        <v>18470.86089698986</v>
      </c>
      <c r="C86" s="431">
        <v>16649.04944695799</v>
      </c>
      <c r="D86" s="431">
        <v>8882.286209608259</v>
      </c>
      <c r="E86" s="431">
        <v>7789.1993395891377</v>
      </c>
      <c r="F86" s="431">
        <v>10709.587860054826</v>
      </c>
      <c r="G86" s="431">
        <v>9926.1009900357058</v>
      </c>
      <c r="H86" s="431">
        <v>5635.9277253275532</v>
      </c>
      <c r="I86" s="431">
        <v>0</v>
      </c>
      <c r="J86" s="431">
        <v>0</v>
      </c>
      <c r="K86" s="431">
        <v>0</v>
      </c>
      <c r="L86" s="189"/>
      <c r="M86" s="189"/>
      <c r="N86" s="189"/>
      <c r="O86" s="189"/>
      <c r="P86" s="189"/>
      <c r="Q86" s="189"/>
      <c r="R86" s="189"/>
      <c r="S86" s="189"/>
      <c r="T86" s="189"/>
      <c r="U86" s="189"/>
      <c r="V86" s="189"/>
      <c r="W86" s="189"/>
      <c r="X86" s="189"/>
      <c r="Y86" s="189"/>
      <c r="Z86" s="189"/>
      <c r="AA86" s="189"/>
      <c r="AB86" s="189"/>
      <c r="AC86" s="189"/>
      <c r="AD86" s="189"/>
      <c r="AE86" s="189"/>
      <c r="AF86" s="189"/>
      <c r="AG86" s="189"/>
      <c r="AH86" s="189"/>
      <c r="AI86" s="189"/>
      <c r="AJ86" s="189"/>
      <c r="AK86" s="189"/>
      <c r="AL86" s="189"/>
      <c r="AM86" s="189"/>
      <c r="AN86" s="189"/>
      <c r="AO86" s="189"/>
      <c r="AP86" s="189"/>
      <c r="AQ86" s="189"/>
      <c r="AR86" s="189"/>
      <c r="AS86" s="189"/>
      <c r="AT86" s="189"/>
      <c r="AU86" s="189"/>
      <c r="AV86" s="189"/>
      <c r="AW86" s="189"/>
      <c r="AX86" s="189"/>
      <c r="AY86" s="189"/>
      <c r="AZ86" s="189"/>
      <c r="BA86" s="189"/>
    </row>
    <row r="87" spans="1:53" x14ac:dyDescent="0.25">
      <c r="A87" s="428" t="str">
        <f t="shared" ref="A87:A97" si="11">A71</f>
        <v>9p/kWh, high capex</v>
      </c>
      <c r="B87" s="431">
        <v>15784.896064301551</v>
      </c>
      <c r="C87" s="431">
        <v>14580.784823532016</v>
      </c>
      <c r="D87" s="431">
        <v>5347.6609669092077</v>
      </c>
      <c r="E87" s="431">
        <v>4254.5740968900873</v>
      </c>
      <c r="F87" s="431">
        <v>7174.9626173557735</v>
      </c>
      <c r="G87" s="431">
        <v>6303.7994471309021</v>
      </c>
      <c r="H87" s="431">
        <v>5635.9277253275532</v>
      </c>
      <c r="I87" s="431">
        <v>0</v>
      </c>
      <c r="J87" s="431">
        <v>0</v>
      </c>
      <c r="K87" s="431">
        <v>0</v>
      </c>
      <c r="L87" s="189"/>
      <c r="M87" s="189"/>
      <c r="N87" s="189"/>
      <c r="O87" s="189"/>
      <c r="P87" s="189"/>
      <c r="Q87" s="189"/>
      <c r="R87" s="189"/>
      <c r="S87" s="189"/>
      <c r="T87" s="189"/>
      <c r="U87" s="189"/>
      <c r="V87" s="189"/>
      <c r="W87" s="189"/>
      <c r="X87" s="189"/>
      <c r="Y87" s="189"/>
      <c r="Z87" s="189"/>
      <c r="AA87" s="189"/>
      <c r="AB87" s="189"/>
      <c r="AC87" s="189"/>
      <c r="AD87" s="189"/>
      <c r="AE87" s="189"/>
      <c r="AF87" s="189"/>
      <c r="AG87" s="189"/>
      <c r="AH87" s="189"/>
      <c r="AI87" s="189"/>
      <c r="AJ87" s="189"/>
      <c r="AK87" s="189"/>
      <c r="AL87" s="189"/>
      <c r="AM87" s="189"/>
      <c r="AN87" s="189"/>
      <c r="AO87" s="189"/>
      <c r="AP87" s="189"/>
      <c r="AQ87" s="189"/>
      <c r="AR87" s="189"/>
      <c r="AS87" s="189"/>
      <c r="AT87" s="189"/>
      <c r="AU87" s="189"/>
      <c r="AV87" s="189"/>
      <c r="AW87" s="189"/>
      <c r="AX87" s="189"/>
      <c r="AY87" s="189"/>
      <c r="AZ87" s="189"/>
      <c r="BA87" s="189"/>
    </row>
    <row r="88" spans="1:53" x14ac:dyDescent="0.25">
      <c r="A88" s="428" t="str">
        <f t="shared" si="11"/>
        <v>10p/kWh, favourable  capex</v>
      </c>
      <c r="B88" s="431">
        <v>22525.859904032986</v>
      </c>
      <c r="C88" s="431">
        <v>20704.048454001124</v>
      </c>
      <c r="D88" s="431">
        <v>11315.285613834134</v>
      </c>
      <c r="E88" s="431">
        <v>10222.198743815015</v>
      </c>
      <c r="F88" s="431">
        <v>13751.687814429559</v>
      </c>
      <c r="G88" s="431">
        <v>12968.200944410439</v>
      </c>
      <c r="H88" s="431">
        <v>7578.2469312833946</v>
      </c>
      <c r="I88" s="431">
        <v>0</v>
      </c>
      <c r="J88" s="431">
        <v>0</v>
      </c>
      <c r="K88" s="431">
        <v>0</v>
      </c>
      <c r="L88" s="189"/>
      <c r="M88" s="189"/>
      <c r="N88" s="189"/>
      <c r="O88" s="189"/>
      <c r="P88" s="189"/>
      <c r="Q88" s="189"/>
      <c r="R88" s="189"/>
      <c r="S88" s="189"/>
      <c r="T88" s="189"/>
      <c r="U88" s="189"/>
      <c r="V88" s="189"/>
      <c r="W88" s="189"/>
      <c r="X88" s="189"/>
      <c r="Y88" s="189"/>
      <c r="Z88" s="189"/>
      <c r="AA88" s="189"/>
      <c r="AB88" s="189"/>
      <c r="AC88" s="189"/>
      <c r="AD88" s="189"/>
      <c r="AE88" s="189"/>
      <c r="AF88" s="189"/>
      <c r="AG88" s="189"/>
      <c r="AH88" s="189"/>
      <c r="AI88" s="189"/>
      <c r="AJ88" s="189"/>
      <c r="AK88" s="189"/>
      <c r="AL88" s="189"/>
      <c r="AM88" s="189"/>
      <c r="AN88" s="189"/>
      <c r="AO88" s="189"/>
      <c r="AP88" s="189"/>
      <c r="AQ88" s="189"/>
      <c r="AR88" s="189"/>
      <c r="AS88" s="189"/>
      <c r="AT88" s="189"/>
      <c r="AU88" s="189"/>
      <c r="AV88" s="189"/>
      <c r="AW88" s="189"/>
      <c r="AX88" s="189"/>
      <c r="AY88" s="189"/>
      <c r="AZ88" s="189"/>
      <c r="BA88" s="189"/>
    </row>
    <row r="89" spans="1:53" x14ac:dyDescent="0.25">
      <c r="A89" s="428" t="str">
        <f t="shared" si="11"/>
        <v>10p/kWh, high capex</v>
      </c>
      <c r="B89" s="431">
        <v>18454.785779686466</v>
      </c>
      <c r="C89" s="431">
        <v>17190.731085267402</v>
      </c>
      <c r="D89" s="431">
        <v>7780.6603711350845</v>
      </c>
      <c r="E89" s="431">
        <v>6687.5735011159632</v>
      </c>
      <c r="F89" s="431">
        <v>10217.062571730505</v>
      </c>
      <c r="G89" s="431">
        <v>9345.8994015056323</v>
      </c>
      <c r="H89" s="431">
        <v>7578.2469312833946</v>
      </c>
      <c r="I89" s="431">
        <v>0</v>
      </c>
      <c r="J89" s="431">
        <v>0</v>
      </c>
      <c r="K89" s="431">
        <v>0</v>
      </c>
      <c r="L89" s="189"/>
      <c r="M89" s="189"/>
      <c r="N89" s="189"/>
      <c r="O89" s="189"/>
      <c r="P89" s="189"/>
      <c r="Q89" s="189"/>
      <c r="R89" s="189"/>
      <c r="S89" s="189"/>
      <c r="T89" s="189"/>
      <c r="U89" s="189"/>
      <c r="V89" s="189"/>
      <c r="W89" s="189"/>
      <c r="X89" s="189"/>
      <c r="Y89" s="189"/>
      <c r="Z89" s="189"/>
      <c r="AA89" s="189"/>
      <c r="AB89" s="189"/>
      <c r="AC89" s="189"/>
      <c r="AD89" s="189"/>
      <c r="AE89" s="189"/>
      <c r="AF89" s="189"/>
      <c r="AG89" s="189"/>
      <c r="AH89" s="189"/>
      <c r="AI89" s="189"/>
      <c r="AJ89" s="189"/>
      <c r="AK89" s="189"/>
      <c r="AL89" s="189"/>
      <c r="AM89" s="189"/>
      <c r="AN89" s="189"/>
      <c r="AO89" s="189"/>
      <c r="AP89" s="189"/>
      <c r="AQ89" s="189"/>
      <c r="AR89" s="189"/>
      <c r="AS89" s="189"/>
      <c r="AT89" s="189"/>
      <c r="AU89" s="189"/>
      <c r="AV89" s="189"/>
      <c r="AW89" s="189"/>
      <c r="AX89" s="189"/>
      <c r="AY89" s="189"/>
      <c r="AZ89" s="189"/>
      <c r="BA89" s="189"/>
    </row>
    <row r="90" spans="1:53" x14ac:dyDescent="0.25">
      <c r="A90" s="428" t="str">
        <f t="shared" si="11"/>
        <v>12p/kWh, favourable  capex</v>
      </c>
      <c r="B90" s="431">
        <v>30635.857918119225</v>
      </c>
      <c r="C90" s="431">
        <v>28814.046468087367</v>
      </c>
      <c r="D90" s="431">
        <v>16181.284422285886</v>
      </c>
      <c r="E90" s="431">
        <v>15088.197552266765</v>
      </c>
      <c r="F90" s="431">
        <v>19835.887723179025</v>
      </c>
      <c r="G90" s="431">
        <v>19052.400853159903</v>
      </c>
      <c r="H90" s="431">
        <v>11462.885343195083</v>
      </c>
      <c r="I90" s="431">
        <v>0</v>
      </c>
      <c r="J90" s="431">
        <v>0</v>
      </c>
      <c r="K90" s="431">
        <v>0</v>
      </c>
      <c r="L90" s="189"/>
      <c r="M90" s="189"/>
      <c r="N90" s="189"/>
      <c r="O90" s="189"/>
      <c r="P90" s="189"/>
      <c r="Q90" s="189"/>
      <c r="R90" s="189"/>
      <c r="S90" s="189"/>
      <c r="T90" s="189"/>
      <c r="U90" s="189"/>
      <c r="V90" s="189"/>
      <c r="W90" s="189"/>
      <c r="X90" s="189"/>
      <c r="Y90" s="189"/>
      <c r="Z90" s="189"/>
      <c r="AA90" s="189"/>
      <c r="AB90" s="189"/>
      <c r="AC90" s="189"/>
      <c r="AD90" s="189"/>
      <c r="AE90" s="189"/>
      <c r="AF90" s="189"/>
      <c r="AG90" s="189"/>
      <c r="AH90" s="189"/>
      <c r="AI90" s="189"/>
      <c r="AJ90" s="189"/>
      <c r="AK90" s="189"/>
      <c r="AL90" s="189"/>
      <c r="AM90" s="189"/>
      <c r="AN90" s="189"/>
      <c r="AO90" s="189"/>
      <c r="AP90" s="189"/>
      <c r="AQ90" s="189"/>
      <c r="AR90" s="189"/>
      <c r="AS90" s="189"/>
      <c r="AT90" s="189"/>
      <c r="AU90" s="189"/>
      <c r="AV90" s="189"/>
      <c r="AW90" s="189"/>
      <c r="AX90" s="189"/>
      <c r="AY90" s="189"/>
      <c r="AZ90" s="189"/>
      <c r="BA90" s="189"/>
    </row>
    <row r="91" spans="1:53" x14ac:dyDescent="0.25">
      <c r="A91" s="428" t="str">
        <f t="shared" si="11"/>
        <v>12p/kWh, high capex</v>
      </c>
      <c r="B91" s="431">
        <v>25921.828661656462</v>
      </c>
      <c r="C91" s="431">
        <v>24100.017211624592</v>
      </c>
      <c r="D91" s="431">
        <v>12646.659179586833</v>
      </c>
      <c r="E91" s="431">
        <v>11553.572309567715</v>
      </c>
      <c r="F91" s="431">
        <v>16301.262480479973</v>
      </c>
      <c r="G91" s="431">
        <v>15430.099310255093</v>
      </c>
      <c r="H91" s="431">
        <v>11462.885343195083</v>
      </c>
      <c r="I91" s="431">
        <v>0</v>
      </c>
      <c r="J91" s="431">
        <v>0</v>
      </c>
      <c r="K91" s="431">
        <v>0</v>
      </c>
      <c r="L91" s="189"/>
      <c r="M91" s="189"/>
      <c r="N91" s="189"/>
      <c r="O91" s="189"/>
      <c r="P91" s="189"/>
      <c r="Q91" s="189"/>
      <c r="R91" s="189"/>
      <c r="S91" s="189"/>
      <c r="T91" s="189"/>
      <c r="U91" s="189"/>
      <c r="V91" s="189"/>
      <c r="W91" s="189"/>
      <c r="X91" s="189"/>
      <c r="Y91" s="189"/>
      <c r="Z91" s="189"/>
      <c r="AA91" s="189"/>
      <c r="AB91" s="189"/>
      <c r="AC91" s="189"/>
      <c r="AD91" s="189"/>
      <c r="AE91" s="189"/>
      <c r="AF91" s="189"/>
      <c r="AG91" s="189"/>
      <c r="AH91" s="189"/>
      <c r="AI91" s="189"/>
      <c r="AJ91" s="189"/>
      <c r="AK91" s="189"/>
      <c r="AL91" s="189"/>
      <c r="AM91" s="189"/>
      <c r="AN91" s="189"/>
      <c r="AO91" s="189"/>
      <c r="AP91" s="189"/>
      <c r="AQ91" s="189"/>
      <c r="AR91" s="189"/>
      <c r="AS91" s="189"/>
      <c r="AT91" s="189"/>
      <c r="AU91" s="189"/>
      <c r="AV91" s="189"/>
      <c r="AW91" s="189"/>
      <c r="AX91" s="189"/>
      <c r="AY91" s="189"/>
      <c r="AZ91" s="189"/>
      <c r="BA91" s="189"/>
    </row>
    <row r="92" spans="1:53" x14ac:dyDescent="0.25">
      <c r="A92" s="428" t="str">
        <f t="shared" si="11"/>
        <v>9p/kWh, mid capex, high grid</v>
      </c>
      <c r="B92" s="431">
        <v>15956.317857165337</v>
      </c>
      <c r="C92" s="431">
        <v>14648.032508971728</v>
      </c>
      <c r="D92" s="431">
        <v>6069.0362821848357</v>
      </c>
      <c r="E92" s="431">
        <v>4975.9494121657162</v>
      </c>
      <c r="F92" s="431">
        <v>7896.3379326314034</v>
      </c>
      <c r="G92" s="431">
        <v>8200.2529900357076</v>
      </c>
      <c r="H92" s="431">
        <v>5635.9277253275532</v>
      </c>
      <c r="I92" s="431">
        <v>0</v>
      </c>
      <c r="J92" s="431">
        <v>0</v>
      </c>
      <c r="K92" s="431">
        <v>0</v>
      </c>
      <c r="L92" s="189"/>
      <c r="M92" s="189"/>
      <c r="N92" s="189"/>
      <c r="O92" s="189"/>
      <c r="P92" s="189"/>
      <c r="Q92" s="189"/>
      <c r="R92" s="189"/>
      <c r="S92" s="189"/>
      <c r="T92" s="189"/>
      <c r="U92" s="189"/>
      <c r="V92" s="189"/>
      <c r="W92" s="189"/>
      <c r="X92" s="189"/>
      <c r="Y92" s="189"/>
      <c r="Z92" s="189"/>
      <c r="AA92" s="189"/>
      <c r="AB92" s="189"/>
      <c r="AC92" s="189"/>
      <c r="AD92" s="189"/>
      <c r="AE92" s="189"/>
      <c r="AF92" s="189"/>
      <c r="AG92" s="189"/>
      <c r="AH92" s="189"/>
      <c r="AI92" s="189"/>
      <c r="AJ92" s="189"/>
      <c r="AK92" s="189"/>
      <c r="AL92" s="189"/>
      <c r="AM92" s="189"/>
      <c r="AN92" s="189"/>
      <c r="AO92" s="189"/>
      <c r="AP92" s="189"/>
      <c r="AQ92" s="189"/>
      <c r="AR92" s="189"/>
      <c r="AS92" s="189"/>
      <c r="AT92" s="189"/>
      <c r="AU92" s="189"/>
      <c r="AV92" s="189"/>
      <c r="AW92" s="189"/>
      <c r="AX92" s="189"/>
      <c r="AY92" s="189"/>
      <c r="AZ92" s="189"/>
      <c r="BA92" s="189"/>
    </row>
    <row r="93" spans="1:53" x14ac:dyDescent="0.25">
      <c r="A93" s="428" t="str">
        <f t="shared" si="11"/>
        <v>9p/kWh, high capex, high grid</v>
      </c>
      <c r="B93" s="431">
        <v>15784.896064301551</v>
      </c>
      <c r="C93" s="431">
        <v>14580.784823532016</v>
      </c>
      <c r="D93" s="431">
        <v>4639.8357963805429</v>
      </c>
      <c r="E93" s="431">
        <v>3881.7873581401423</v>
      </c>
      <c r="F93" s="431">
        <v>6188.8832268892156</v>
      </c>
      <c r="G93" s="431">
        <v>6205.1666916667918</v>
      </c>
      <c r="H93" s="431">
        <v>5635.9277253275532</v>
      </c>
      <c r="I93" s="431">
        <v>0</v>
      </c>
      <c r="J93" s="431">
        <v>0</v>
      </c>
      <c r="K93" s="431">
        <v>0</v>
      </c>
      <c r="L93" s="189"/>
      <c r="M93" s="189"/>
      <c r="N93" s="189"/>
      <c r="O93" s="189"/>
      <c r="P93" s="189"/>
      <c r="Q93" s="189"/>
      <c r="R93" s="189"/>
      <c r="S93" s="189"/>
      <c r="T93" s="189"/>
      <c r="U93" s="189"/>
      <c r="V93" s="189"/>
      <c r="W93" s="189"/>
      <c r="X93" s="189"/>
      <c r="Y93" s="189"/>
      <c r="Z93" s="189"/>
      <c r="AA93" s="189"/>
      <c r="AB93" s="189"/>
      <c r="AC93" s="189"/>
      <c r="AD93" s="189"/>
      <c r="AE93" s="189"/>
      <c r="AF93" s="189"/>
      <c r="AG93" s="189"/>
      <c r="AH93" s="189"/>
      <c r="AI93" s="189"/>
      <c r="AJ93" s="189"/>
      <c r="AK93" s="189"/>
      <c r="AL93" s="189"/>
      <c r="AM93" s="189"/>
      <c r="AN93" s="189"/>
      <c r="AO93" s="189"/>
      <c r="AP93" s="189"/>
      <c r="AQ93" s="189"/>
      <c r="AR93" s="189"/>
      <c r="AS93" s="189"/>
      <c r="AT93" s="189"/>
      <c r="AU93" s="189"/>
      <c r="AV93" s="189"/>
      <c r="AW93" s="189"/>
      <c r="AX93" s="189"/>
      <c r="AY93" s="189"/>
      <c r="AZ93" s="189"/>
      <c r="BA93" s="189"/>
    </row>
    <row r="94" spans="1:53" x14ac:dyDescent="0.25">
      <c r="A94" s="428" t="str">
        <f t="shared" si="11"/>
        <v>10p/kWh, mid capex, high grid</v>
      </c>
      <c r="B94" s="431">
        <v>19653.920646806782</v>
      </c>
      <c r="C94" s="431">
        <v>17851.062263655946</v>
      </c>
      <c r="D94" s="431">
        <v>8502.0356864107125</v>
      </c>
      <c r="E94" s="431">
        <v>7408.9488163915921</v>
      </c>
      <c r="F94" s="431">
        <v>10938.437887006137</v>
      </c>
      <c r="G94" s="431">
        <v>11242.352944410439</v>
      </c>
      <c r="H94" s="431">
        <v>7578.2469312833946</v>
      </c>
      <c r="I94" s="431">
        <v>0</v>
      </c>
      <c r="J94" s="431">
        <v>0</v>
      </c>
      <c r="K94" s="431">
        <v>0</v>
      </c>
      <c r="L94" s="189"/>
      <c r="M94" s="189"/>
      <c r="N94" s="189"/>
      <c r="O94" s="189"/>
      <c r="P94" s="189"/>
      <c r="Q94" s="189"/>
      <c r="R94" s="189"/>
      <c r="S94" s="189"/>
      <c r="T94" s="189"/>
      <c r="U94" s="189"/>
      <c r="V94" s="189"/>
      <c r="W94" s="189"/>
      <c r="X94" s="189"/>
      <c r="Y94" s="189"/>
      <c r="Z94" s="189"/>
      <c r="AA94" s="189"/>
      <c r="AB94" s="189"/>
      <c r="AC94" s="189"/>
      <c r="AD94" s="189"/>
      <c r="AE94" s="189"/>
      <c r="AF94" s="189"/>
      <c r="AG94" s="189"/>
      <c r="AH94" s="189"/>
      <c r="AI94" s="189"/>
      <c r="AJ94" s="189"/>
      <c r="AK94" s="189"/>
      <c r="AL94" s="189"/>
      <c r="AM94" s="189"/>
      <c r="AN94" s="189"/>
      <c r="AO94" s="189"/>
      <c r="AP94" s="189"/>
      <c r="AQ94" s="189"/>
      <c r="AR94" s="189"/>
      <c r="AS94" s="189"/>
      <c r="AT94" s="189"/>
      <c r="AU94" s="189"/>
      <c r="AV94" s="189"/>
      <c r="AW94" s="189"/>
      <c r="AX94" s="189"/>
      <c r="AY94" s="189"/>
      <c r="AZ94" s="189"/>
      <c r="BA94" s="189"/>
    </row>
    <row r="95" spans="1:53" x14ac:dyDescent="0.25">
      <c r="A95" s="428" t="str">
        <f t="shared" si="11"/>
        <v>10p/kWh, high capex, high grid</v>
      </c>
      <c r="B95" s="431">
        <v>18373.930800055514</v>
      </c>
      <c r="C95" s="431">
        <v>17169.819559285981</v>
      </c>
      <c r="D95" s="431">
        <v>6794.3328164939912</v>
      </c>
      <c r="E95" s="431">
        <v>5720.2870725214061</v>
      </c>
      <c r="F95" s="431">
        <v>9230.7350170894133</v>
      </c>
      <c r="G95" s="431">
        <v>9247.2666460415239</v>
      </c>
      <c r="H95" s="431">
        <v>7578.2469312833946</v>
      </c>
      <c r="I95" s="431">
        <v>0</v>
      </c>
      <c r="J95" s="431">
        <v>0</v>
      </c>
      <c r="K95" s="431">
        <v>0</v>
      </c>
      <c r="L95" s="189"/>
      <c r="M95" s="189"/>
      <c r="N95" s="189"/>
      <c r="O95" s="189"/>
      <c r="P95" s="189"/>
      <c r="Q95" s="189"/>
      <c r="R95" s="189"/>
      <c r="S95" s="189"/>
      <c r="T95" s="189"/>
      <c r="U95" s="189"/>
      <c r="V95" s="189"/>
      <c r="W95" s="189"/>
      <c r="X95" s="189"/>
      <c r="Y95" s="189"/>
      <c r="Z95" s="189"/>
      <c r="AA95" s="189"/>
      <c r="AB95" s="189"/>
      <c r="AC95" s="189"/>
      <c r="AD95" s="189"/>
      <c r="AE95" s="189"/>
      <c r="AF95" s="189"/>
      <c r="AG95" s="189"/>
      <c r="AH95" s="189"/>
      <c r="AI95" s="189"/>
      <c r="AJ95" s="189"/>
      <c r="AK95" s="189"/>
      <c r="AL95" s="189"/>
      <c r="AM95" s="189"/>
      <c r="AN95" s="189"/>
      <c r="AO95" s="189"/>
      <c r="AP95" s="189"/>
      <c r="AQ95" s="189"/>
      <c r="AR95" s="189"/>
      <c r="AS95" s="189"/>
      <c r="AT95" s="189"/>
      <c r="AU95" s="189"/>
      <c r="AV95" s="189"/>
      <c r="AW95" s="189"/>
      <c r="AX95" s="189"/>
      <c r="AY95" s="189"/>
      <c r="AZ95" s="189"/>
      <c r="BA95" s="189"/>
    </row>
    <row r="96" spans="1:53" x14ac:dyDescent="0.25">
      <c r="A96" s="428" t="str">
        <f t="shared" si="11"/>
        <v>12p/kWh, mid capex, high grid</v>
      </c>
      <c r="B96" s="431">
        <v>27763.918660893032</v>
      </c>
      <c r="C96" s="431">
        <v>25942.107210861166</v>
      </c>
      <c r="D96" s="431">
        <v>13368.034494862462</v>
      </c>
      <c r="E96" s="431">
        <v>12274.947624843344</v>
      </c>
      <c r="F96" s="431">
        <v>17022.637795755596</v>
      </c>
      <c r="G96" s="431">
        <v>17326.552853159908</v>
      </c>
      <c r="H96" s="431">
        <v>11462.885343195083</v>
      </c>
      <c r="I96" s="431">
        <v>0</v>
      </c>
      <c r="J96" s="431">
        <v>0</v>
      </c>
      <c r="K96" s="431">
        <v>0</v>
      </c>
      <c r="L96" s="189"/>
      <c r="M96" s="189"/>
      <c r="N96" s="189"/>
      <c r="O96" s="189"/>
      <c r="P96" s="189"/>
      <c r="Q96" s="189"/>
      <c r="R96" s="189"/>
      <c r="S96" s="189"/>
      <c r="T96" s="189"/>
      <c r="U96" s="189"/>
      <c r="V96" s="189"/>
      <c r="W96" s="189"/>
      <c r="X96" s="189"/>
      <c r="Y96" s="189"/>
      <c r="Z96" s="189"/>
      <c r="AA96" s="189"/>
      <c r="AB96" s="189"/>
      <c r="AC96" s="189"/>
      <c r="AD96" s="189"/>
      <c r="AE96" s="189"/>
      <c r="AF96" s="189"/>
      <c r="AG96" s="189"/>
      <c r="AH96" s="189"/>
      <c r="AI96" s="189"/>
      <c r="AJ96" s="189"/>
      <c r="AK96" s="189"/>
      <c r="AL96" s="189"/>
      <c r="AM96" s="189"/>
      <c r="AN96" s="189"/>
      <c r="AO96" s="189"/>
      <c r="AP96" s="189"/>
      <c r="AQ96" s="189"/>
      <c r="AR96" s="189"/>
      <c r="AS96" s="189"/>
      <c r="AT96" s="189"/>
      <c r="AU96" s="189"/>
      <c r="AV96" s="189"/>
      <c r="AW96" s="189"/>
      <c r="AX96" s="189"/>
      <c r="AY96" s="189"/>
      <c r="AZ96" s="189"/>
      <c r="BA96" s="189"/>
    </row>
    <row r="97" spans="1:53" x14ac:dyDescent="0.25">
      <c r="A97" s="428" t="str">
        <f t="shared" si="11"/>
        <v>12p/kWh, high capex, high grid</v>
      </c>
      <c r="B97" s="431">
        <v>24935.501107015367</v>
      </c>
      <c r="C97" s="431">
        <v>23135.461296372559</v>
      </c>
      <c r="D97" s="431">
        <v>11660.33162494574</v>
      </c>
      <c r="E97" s="431">
        <v>10567.244754926624</v>
      </c>
      <c r="F97" s="431">
        <v>15314.934925838876</v>
      </c>
      <c r="G97" s="431">
        <v>15331.466554790986</v>
      </c>
      <c r="H97" s="431">
        <v>11462.885343195083</v>
      </c>
      <c r="I97" s="431">
        <v>0</v>
      </c>
      <c r="J97" s="431">
        <v>0</v>
      </c>
      <c r="K97" s="431">
        <v>0</v>
      </c>
      <c r="L97" s="189"/>
      <c r="M97" s="189"/>
      <c r="N97" s="189"/>
      <c r="O97" s="189"/>
      <c r="P97" s="189"/>
      <c r="Q97" s="189"/>
      <c r="R97" s="189"/>
      <c r="S97" s="189"/>
      <c r="T97" s="189"/>
      <c r="U97" s="189"/>
      <c r="V97" s="189"/>
      <c r="W97" s="189"/>
      <c r="X97" s="189"/>
      <c r="Y97" s="189"/>
      <c r="Z97" s="189"/>
      <c r="AA97" s="189"/>
      <c r="AB97" s="189"/>
      <c r="AC97" s="189"/>
      <c r="AD97" s="189"/>
      <c r="AE97" s="189"/>
      <c r="AF97" s="189"/>
      <c r="AG97" s="189"/>
      <c r="AH97" s="189"/>
      <c r="AI97" s="189"/>
      <c r="AJ97" s="189"/>
      <c r="AK97" s="189"/>
      <c r="AL97" s="189"/>
      <c r="AM97" s="189"/>
      <c r="AN97" s="189"/>
      <c r="AO97" s="189"/>
      <c r="AP97" s="189"/>
      <c r="AQ97" s="189"/>
      <c r="AR97" s="189"/>
      <c r="AS97" s="189"/>
      <c r="AT97" s="189"/>
      <c r="AU97" s="189"/>
      <c r="AV97" s="189"/>
      <c r="AW97" s="189"/>
      <c r="AX97" s="189"/>
      <c r="AY97" s="189"/>
      <c r="AZ97" s="189"/>
      <c r="BA97" s="189"/>
    </row>
    <row r="98" spans="1:53" x14ac:dyDescent="0.25">
      <c r="A98" s="189"/>
      <c r="B98" s="189"/>
      <c r="C98" s="189"/>
      <c r="D98" s="189"/>
      <c r="E98" s="189"/>
      <c r="F98" s="189"/>
      <c r="G98" s="189"/>
      <c r="H98" s="189"/>
      <c r="I98" s="189"/>
      <c r="J98" s="189"/>
      <c r="K98" s="189"/>
      <c r="L98" s="189"/>
      <c r="M98" s="189"/>
      <c r="N98" s="189"/>
      <c r="O98" s="189"/>
      <c r="P98" s="189"/>
      <c r="Q98" s="189"/>
      <c r="R98" s="189"/>
      <c r="S98" s="189"/>
      <c r="T98" s="189"/>
      <c r="U98" s="189"/>
      <c r="V98" s="189"/>
      <c r="W98" s="189"/>
      <c r="X98" s="189"/>
      <c r="Y98" s="189"/>
      <c r="Z98" s="189"/>
      <c r="AA98" s="189"/>
      <c r="AB98" s="189"/>
      <c r="AC98" s="189"/>
      <c r="AD98" s="189"/>
      <c r="AE98" s="189"/>
      <c r="AF98" s="189"/>
      <c r="AG98" s="189"/>
      <c r="AH98" s="189"/>
      <c r="AI98" s="189"/>
      <c r="AJ98" s="189"/>
      <c r="AK98" s="189"/>
      <c r="AL98" s="189"/>
      <c r="AM98" s="189"/>
      <c r="AN98" s="189"/>
      <c r="AO98" s="189"/>
      <c r="AP98" s="189"/>
      <c r="AQ98" s="189"/>
      <c r="AR98" s="189"/>
      <c r="AS98" s="189"/>
      <c r="AT98" s="189"/>
      <c r="AU98" s="189"/>
      <c r="AV98" s="189"/>
      <c r="AW98" s="189"/>
      <c r="AX98" s="189"/>
      <c r="AY98" s="189"/>
      <c r="AZ98" s="189"/>
      <c r="BA98" s="189"/>
    </row>
    <row r="99" spans="1:53" x14ac:dyDescent="0.25">
      <c r="A99" s="395" t="s">
        <v>212</v>
      </c>
      <c r="B99" s="189"/>
      <c r="C99" s="189"/>
      <c r="D99" s="189"/>
      <c r="E99" s="189"/>
      <c r="F99" s="189"/>
      <c r="G99" s="189"/>
      <c r="H99" s="189"/>
      <c r="I99" s="189"/>
      <c r="J99" s="189"/>
      <c r="K99" s="189"/>
      <c r="L99" s="189"/>
      <c r="M99" s="189"/>
      <c r="N99" s="189"/>
      <c r="O99" s="189"/>
      <c r="P99" s="189"/>
      <c r="Q99" s="189"/>
      <c r="R99" s="189"/>
      <c r="S99" s="189"/>
      <c r="T99" s="189"/>
      <c r="U99" s="189"/>
      <c r="V99" s="189"/>
      <c r="W99" s="189"/>
      <c r="X99" s="189"/>
      <c r="Y99" s="189"/>
      <c r="Z99" s="189"/>
      <c r="AA99" s="189"/>
      <c r="AB99" s="189"/>
      <c r="AC99" s="189"/>
      <c r="AD99" s="189"/>
      <c r="AE99" s="189"/>
      <c r="AF99" s="189"/>
      <c r="AG99" s="189"/>
      <c r="AH99" s="189"/>
      <c r="AI99" s="189"/>
      <c r="AJ99" s="189"/>
      <c r="AK99" s="189"/>
      <c r="AL99" s="189"/>
      <c r="AM99" s="189"/>
      <c r="AN99" s="189"/>
      <c r="AO99" s="189"/>
      <c r="AP99" s="189"/>
      <c r="AQ99" s="189"/>
      <c r="AR99" s="189"/>
      <c r="AS99" s="189"/>
      <c r="AT99" s="189"/>
      <c r="AU99" s="189"/>
      <c r="AV99" s="189"/>
      <c r="AW99" s="189"/>
      <c r="AX99" s="189"/>
      <c r="AY99" s="189"/>
      <c r="AZ99" s="189"/>
      <c r="BA99" s="189"/>
    </row>
    <row r="100" spans="1:53" ht="39.6" x14ac:dyDescent="0.25">
      <c r="A100" s="430">
        <f>-H40</f>
        <v>0</v>
      </c>
      <c r="B100" s="426" t="str">
        <f>B85</f>
        <v>500kW, 
£500/acre</v>
      </c>
      <c r="C100" s="426" t="str">
        <f t="shared" ref="C100:K100" si="12">C85</f>
        <v>500kW, 
£1000/acre</v>
      </c>
      <c r="D100" s="426" t="str">
        <f t="shared" si="12"/>
        <v>300kW, 
£500/acre</v>
      </c>
      <c r="E100" s="427" t="str">
        <f t="shared" si="12"/>
        <v>300kW, 
£1000/acre</v>
      </c>
      <c r="F100" s="427" t="str">
        <f t="shared" si="12"/>
        <v>300kW, 
£500/acre (no export)</v>
      </c>
      <c r="G100" s="427" t="str">
        <f t="shared" si="12"/>
        <v>300kW, 
£1000/acre (no export)</v>
      </c>
      <c r="H100" s="427" t="str">
        <f t="shared" si="12"/>
        <v>500kW, 
£500/acre (no grant)</v>
      </c>
      <c r="I100" s="427" t="str">
        <f t="shared" si="12"/>
        <v>Blank site 2</v>
      </c>
      <c r="J100" s="427" t="str">
        <f t="shared" si="12"/>
        <v>Blank site 3</v>
      </c>
      <c r="K100" s="427" t="str">
        <f t="shared" si="12"/>
        <v>Blank site 4</v>
      </c>
      <c r="L100" s="189"/>
      <c r="M100" s="189"/>
      <c r="N100" s="189"/>
      <c r="O100" s="189"/>
      <c r="P100" s="189"/>
      <c r="Q100" s="189"/>
      <c r="R100" s="189"/>
      <c r="S100" s="189"/>
      <c r="T100" s="189"/>
      <c r="U100" s="189"/>
      <c r="V100" s="189"/>
      <c r="W100" s="189"/>
      <c r="X100" s="189"/>
      <c r="Y100" s="189"/>
      <c r="Z100" s="189"/>
      <c r="AA100" s="189"/>
      <c r="AB100" s="189"/>
      <c r="AC100" s="189"/>
      <c r="AD100" s="189"/>
      <c r="AE100" s="189"/>
      <c r="AF100" s="189"/>
      <c r="AG100" s="189"/>
      <c r="AH100" s="189"/>
      <c r="AI100" s="189"/>
      <c r="AJ100" s="189"/>
      <c r="AK100" s="189"/>
      <c r="AL100" s="189"/>
      <c r="AM100" s="189"/>
      <c r="AN100" s="189"/>
      <c r="AO100" s="189"/>
      <c r="AP100" s="189"/>
      <c r="AQ100" s="189"/>
      <c r="AR100" s="189"/>
      <c r="AS100" s="189"/>
      <c r="AT100" s="189"/>
      <c r="AU100" s="189"/>
      <c r="AV100" s="189"/>
      <c r="AW100" s="189"/>
      <c r="AX100" s="189"/>
      <c r="AY100" s="189"/>
      <c r="AZ100" s="189"/>
      <c r="BA100" s="189"/>
    </row>
    <row r="101" spans="1:53" x14ac:dyDescent="0.25">
      <c r="A101" s="428" t="str">
        <f>A86</f>
        <v>9p/kWh, favourable  capex</v>
      </c>
      <c r="B101" s="431">
        <f t="dataTable" ref="B101:K112" dt2D="1" dtr="1" r1="B2" r2="B3" ca="1"/>
        <v>6000</v>
      </c>
      <c r="C101" s="431">
        <v>6000</v>
      </c>
      <c r="D101" s="431">
        <v>4939.95</v>
      </c>
      <c r="E101" s="431">
        <v>4939.95</v>
      </c>
      <c r="F101" s="431">
        <v>4939.95</v>
      </c>
      <c r="G101" s="431">
        <v>4804.95</v>
      </c>
      <c r="H101" s="431">
        <v>0</v>
      </c>
      <c r="I101" s="431">
        <v>0</v>
      </c>
      <c r="J101" s="431">
        <v>0</v>
      </c>
      <c r="K101" s="431">
        <v>0</v>
      </c>
      <c r="L101" s="189"/>
      <c r="M101" s="189"/>
      <c r="N101" s="189"/>
      <c r="O101" s="189"/>
      <c r="P101" s="189"/>
      <c r="Q101" s="189"/>
      <c r="R101" s="189"/>
      <c r="S101" s="189"/>
      <c r="T101" s="189"/>
      <c r="U101" s="189"/>
      <c r="V101" s="189"/>
      <c r="W101" s="189"/>
      <c r="X101" s="189"/>
      <c r="Y101" s="189"/>
      <c r="Z101" s="189"/>
      <c r="AA101" s="189"/>
      <c r="AB101" s="189"/>
      <c r="AC101" s="189"/>
      <c r="AD101" s="189"/>
      <c r="AE101" s="189"/>
      <c r="AF101" s="189"/>
      <c r="AG101" s="189"/>
      <c r="AH101" s="189"/>
      <c r="AI101" s="189"/>
      <c r="AJ101" s="189"/>
      <c r="AK101" s="189"/>
      <c r="AL101" s="189"/>
      <c r="AM101" s="189"/>
      <c r="AN101" s="189"/>
      <c r="AO101" s="189"/>
      <c r="AP101" s="189"/>
      <c r="AQ101" s="189"/>
      <c r="AR101" s="189"/>
      <c r="AS101" s="189"/>
      <c r="AT101" s="189"/>
      <c r="AU101" s="189"/>
      <c r="AV101" s="189"/>
      <c r="AW101" s="189"/>
      <c r="AX101" s="189"/>
      <c r="AY101" s="189"/>
      <c r="AZ101" s="189"/>
      <c r="BA101" s="189"/>
    </row>
    <row r="102" spans="1:53" x14ac:dyDescent="0.25">
      <c r="A102" s="428" t="str">
        <f t="shared" ref="A102:A111" si="13">A87</f>
        <v>9p/kWh, high capex</v>
      </c>
      <c r="B102" s="431">
        <v>113.8629917478047</v>
      </c>
      <c r="C102" s="431">
        <v>0</v>
      </c>
      <c r="D102" s="431">
        <v>6000</v>
      </c>
      <c r="E102" s="431">
        <v>6000</v>
      </c>
      <c r="F102" s="431">
        <v>6000</v>
      </c>
      <c r="G102" s="431">
        <v>6000</v>
      </c>
      <c r="H102" s="431">
        <v>0</v>
      </c>
      <c r="I102" s="431">
        <v>0</v>
      </c>
      <c r="J102" s="431">
        <v>0</v>
      </c>
      <c r="K102" s="431">
        <v>0</v>
      </c>
      <c r="L102" s="189"/>
      <c r="M102" s="189"/>
      <c r="N102" s="189"/>
      <c r="O102" s="189"/>
      <c r="P102" s="189"/>
      <c r="Q102" s="189"/>
      <c r="R102" s="189"/>
      <c r="S102" s="189"/>
      <c r="T102" s="189"/>
      <c r="U102" s="189"/>
      <c r="V102" s="189"/>
      <c r="W102" s="189"/>
      <c r="X102" s="189"/>
      <c r="Y102" s="189"/>
      <c r="Z102" s="189"/>
      <c r="AA102" s="189"/>
      <c r="AB102" s="189"/>
      <c r="AC102" s="189"/>
      <c r="AD102" s="189"/>
      <c r="AE102" s="189"/>
      <c r="AF102" s="189"/>
      <c r="AG102" s="189"/>
      <c r="AH102" s="189"/>
      <c r="AI102" s="189"/>
      <c r="AJ102" s="189"/>
      <c r="AK102" s="189"/>
      <c r="AL102" s="189"/>
      <c r="AM102" s="189"/>
      <c r="AN102" s="189"/>
      <c r="AO102" s="189"/>
      <c r="AP102" s="189"/>
      <c r="AQ102" s="189"/>
      <c r="AR102" s="189"/>
      <c r="AS102" s="189"/>
      <c r="AT102" s="189"/>
      <c r="AU102" s="189"/>
      <c r="AV102" s="189"/>
      <c r="AW102" s="189"/>
      <c r="AX102" s="189"/>
      <c r="AY102" s="189"/>
      <c r="AZ102" s="189"/>
      <c r="BA102" s="189"/>
    </row>
    <row r="103" spans="1:53" x14ac:dyDescent="0.25">
      <c r="A103" s="428" t="str">
        <f t="shared" si="13"/>
        <v>10p/kWh, favourable  capex</v>
      </c>
      <c r="B103" s="431">
        <v>6000</v>
      </c>
      <c r="C103" s="431">
        <v>6000</v>
      </c>
      <c r="D103" s="431">
        <v>4939.95</v>
      </c>
      <c r="E103" s="431">
        <v>4939.95</v>
      </c>
      <c r="F103" s="431">
        <v>4939.95</v>
      </c>
      <c r="G103" s="431">
        <v>4804.95</v>
      </c>
      <c r="H103" s="431">
        <v>0</v>
      </c>
      <c r="I103" s="431">
        <v>0</v>
      </c>
      <c r="J103" s="431">
        <v>0</v>
      </c>
      <c r="K103" s="431">
        <v>0</v>
      </c>
      <c r="L103" s="189"/>
      <c r="M103" s="189"/>
      <c r="N103" s="189"/>
      <c r="O103" s="189"/>
      <c r="P103" s="189"/>
      <c r="Q103" s="189"/>
      <c r="R103" s="189"/>
      <c r="S103" s="189"/>
      <c r="T103" s="189"/>
      <c r="U103" s="189"/>
      <c r="V103" s="189"/>
      <c r="W103" s="189"/>
      <c r="X103" s="189"/>
      <c r="Y103" s="189"/>
      <c r="Z103" s="189"/>
      <c r="AA103" s="189"/>
      <c r="AB103" s="189"/>
      <c r="AC103" s="189"/>
      <c r="AD103" s="189"/>
      <c r="AE103" s="189"/>
      <c r="AF103" s="189"/>
      <c r="AG103" s="189"/>
      <c r="AH103" s="189"/>
      <c r="AI103" s="189"/>
      <c r="AJ103" s="189"/>
      <c r="AK103" s="189"/>
      <c r="AL103" s="189"/>
      <c r="AM103" s="189"/>
      <c r="AN103" s="189"/>
      <c r="AO103" s="189"/>
      <c r="AP103" s="189"/>
      <c r="AQ103" s="189"/>
      <c r="AR103" s="189"/>
      <c r="AS103" s="189"/>
      <c r="AT103" s="189"/>
      <c r="AU103" s="189"/>
      <c r="AV103" s="189"/>
      <c r="AW103" s="189"/>
      <c r="AX103" s="189"/>
      <c r="AY103" s="189"/>
      <c r="AZ103" s="189"/>
      <c r="BA103" s="189"/>
    </row>
    <row r="104" spans="1:53" x14ac:dyDescent="0.25">
      <c r="A104" s="428" t="str">
        <f t="shared" si="13"/>
        <v>10p/kWh, high capex</v>
      </c>
      <c r="B104" s="431">
        <v>3752.4025092513129</v>
      </c>
      <c r="C104" s="431">
        <v>2226.835077828795</v>
      </c>
      <c r="D104" s="431">
        <v>6000</v>
      </c>
      <c r="E104" s="431">
        <v>6000</v>
      </c>
      <c r="F104" s="431">
        <v>6000</v>
      </c>
      <c r="G104" s="431">
        <v>6000</v>
      </c>
      <c r="H104" s="431">
        <v>0</v>
      </c>
      <c r="I104" s="431">
        <v>0</v>
      </c>
      <c r="J104" s="431">
        <v>0</v>
      </c>
      <c r="K104" s="431">
        <v>0</v>
      </c>
      <c r="L104" s="189"/>
      <c r="M104" s="189"/>
      <c r="N104" s="189"/>
      <c r="O104" s="189"/>
      <c r="P104" s="189"/>
      <c r="Q104" s="189"/>
      <c r="R104" s="189"/>
      <c r="S104" s="189"/>
      <c r="T104" s="189"/>
      <c r="U104" s="189"/>
      <c r="V104" s="189"/>
      <c r="W104" s="189"/>
      <c r="X104" s="189"/>
      <c r="Y104" s="189"/>
      <c r="Z104" s="189"/>
      <c r="AA104" s="189"/>
      <c r="AB104" s="189"/>
      <c r="AC104" s="189"/>
      <c r="AD104" s="189"/>
      <c r="AE104" s="189"/>
      <c r="AF104" s="189"/>
      <c r="AG104" s="189"/>
      <c r="AH104" s="189"/>
      <c r="AI104" s="189"/>
      <c r="AJ104" s="189"/>
      <c r="AK104" s="189"/>
      <c r="AL104" s="189"/>
      <c r="AM104" s="189"/>
      <c r="AN104" s="189"/>
      <c r="AO104" s="189"/>
      <c r="AP104" s="189"/>
      <c r="AQ104" s="189"/>
      <c r="AR104" s="189"/>
      <c r="AS104" s="189"/>
      <c r="AT104" s="189"/>
      <c r="AU104" s="189"/>
      <c r="AV104" s="189"/>
      <c r="AW104" s="189"/>
      <c r="AX104" s="189"/>
      <c r="AY104" s="189"/>
      <c r="AZ104" s="189"/>
      <c r="BA104" s="189"/>
    </row>
    <row r="105" spans="1:53" x14ac:dyDescent="0.25">
      <c r="A105" s="428" t="str">
        <f t="shared" si="13"/>
        <v>12p/kWh, favourable  capex</v>
      </c>
      <c r="B105" s="431">
        <v>6000</v>
      </c>
      <c r="C105" s="431">
        <v>6000</v>
      </c>
      <c r="D105" s="431">
        <v>4939.95</v>
      </c>
      <c r="E105" s="431">
        <v>4939.95</v>
      </c>
      <c r="F105" s="431">
        <v>4939.95</v>
      </c>
      <c r="G105" s="431">
        <v>4804.95</v>
      </c>
      <c r="H105" s="431">
        <v>0</v>
      </c>
      <c r="I105" s="431">
        <v>0</v>
      </c>
      <c r="J105" s="431">
        <v>0</v>
      </c>
      <c r="K105" s="431">
        <v>0</v>
      </c>
      <c r="L105" s="189"/>
      <c r="M105" s="189"/>
      <c r="N105" s="189"/>
      <c r="O105" s="189"/>
      <c r="P105" s="189"/>
      <c r="Q105" s="189"/>
      <c r="R105" s="189"/>
      <c r="S105" s="189"/>
      <c r="T105" s="189"/>
      <c r="U105" s="189"/>
      <c r="V105" s="189"/>
      <c r="W105" s="189"/>
      <c r="X105" s="189"/>
      <c r="Y105" s="189"/>
      <c r="Z105" s="189"/>
      <c r="AA105" s="189"/>
      <c r="AB105" s="189"/>
      <c r="AC105" s="189"/>
      <c r="AD105" s="189"/>
      <c r="AE105" s="189"/>
      <c r="AF105" s="189"/>
      <c r="AG105" s="189"/>
      <c r="AH105" s="189"/>
      <c r="AI105" s="189"/>
      <c r="AJ105" s="189"/>
      <c r="AK105" s="189"/>
      <c r="AL105" s="189"/>
      <c r="AM105" s="189"/>
      <c r="AN105" s="189"/>
      <c r="AO105" s="189"/>
      <c r="AP105" s="189"/>
      <c r="AQ105" s="189"/>
      <c r="AR105" s="189"/>
      <c r="AS105" s="189"/>
      <c r="AT105" s="189"/>
      <c r="AU105" s="189"/>
      <c r="AV105" s="189"/>
      <c r="AW105" s="189"/>
      <c r="AX105" s="189"/>
      <c r="AY105" s="189"/>
      <c r="AZ105" s="189"/>
      <c r="BA105" s="189"/>
    </row>
    <row r="106" spans="1:53" x14ac:dyDescent="0.25">
      <c r="A106" s="428" t="str">
        <f t="shared" si="13"/>
        <v>12p/kWh, high capex</v>
      </c>
      <c r="B106" s="431">
        <v>6000</v>
      </c>
      <c r="C106" s="431">
        <v>6000</v>
      </c>
      <c r="D106" s="431">
        <v>6000</v>
      </c>
      <c r="E106" s="431">
        <v>6000</v>
      </c>
      <c r="F106" s="431">
        <v>6000</v>
      </c>
      <c r="G106" s="431">
        <v>6000</v>
      </c>
      <c r="H106" s="431">
        <v>0</v>
      </c>
      <c r="I106" s="431">
        <v>0</v>
      </c>
      <c r="J106" s="431">
        <v>0</v>
      </c>
      <c r="K106" s="431">
        <v>0</v>
      </c>
      <c r="L106" s="189"/>
      <c r="M106" s="189"/>
      <c r="N106" s="189"/>
      <c r="O106" s="189"/>
      <c r="P106" s="189"/>
      <c r="Q106" s="189"/>
      <c r="R106" s="189"/>
      <c r="S106" s="189"/>
      <c r="T106" s="189"/>
      <c r="U106" s="189"/>
      <c r="V106" s="189"/>
      <c r="W106" s="189"/>
      <c r="X106" s="189"/>
      <c r="Y106" s="189"/>
      <c r="Z106" s="189"/>
      <c r="AA106" s="189"/>
      <c r="AB106" s="189"/>
      <c r="AC106" s="189"/>
      <c r="AD106" s="189"/>
      <c r="AE106" s="189"/>
      <c r="AF106" s="189"/>
      <c r="AG106" s="189"/>
      <c r="AH106" s="189"/>
      <c r="AI106" s="189"/>
      <c r="AJ106" s="189"/>
      <c r="AK106" s="189"/>
      <c r="AL106" s="189"/>
      <c r="AM106" s="189"/>
      <c r="AN106" s="189"/>
      <c r="AO106" s="189"/>
      <c r="AP106" s="189"/>
      <c r="AQ106" s="189"/>
      <c r="AR106" s="189"/>
      <c r="AS106" s="189"/>
      <c r="AT106" s="189"/>
      <c r="AU106" s="189"/>
      <c r="AV106" s="189"/>
      <c r="AW106" s="189"/>
      <c r="AX106" s="189"/>
      <c r="AY106" s="189"/>
      <c r="AZ106" s="189"/>
      <c r="BA106" s="189"/>
    </row>
    <row r="107" spans="1:53" x14ac:dyDescent="0.25">
      <c r="A107" s="428" t="str">
        <f t="shared" si="13"/>
        <v>9p/kWh, mid capex, high grid</v>
      </c>
      <c r="B107" s="431">
        <v>4719.0879898392286</v>
      </c>
      <c r="C107" s="431">
        <v>3193.5205584167106</v>
      </c>
      <c r="D107" s="431">
        <v>6000</v>
      </c>
      <c r="E107" s="431">
        <v>6000</v>
      </c>
      <c r="F107" s="431">
        <v>6000</v>
      </c>
      <c r="G107" s="431">
        <v>5557.5</v>
      </c>
      <c r="H107" s="431">
        <v>0</v>
      </c>
      <c r="I107" s="431">
        <v>0</v>
      </c>
      <c r="J107" s="431">
        <v>0</v>
      </c>
      <c r="K107" s="431">
        <v>0</v>
      </c>
      <c r="L107" s="189"/>
      <c r="M107" s="189"/>
      <c r="N107" s="189"/>
      <c r="O107" s="189"/>
      <c r="P107" s="189"/>
      <c r="Q107" s="189"/>
      <c r="R107" s="189"/>
      <c r="S107" s="189"/>
      <c r="T107" s="189"/>
      <c r="U107" s="189"/>
      <c r="V107" s="189"/>
      <c r="W107" s="189"/>
      <c r="X107" s="189"/>
      <c r="Y107" s="189"/>
      <c r="Z107" s="189"/>
      <c r="AA107" s="189"/>
      <c r="AB107" s="189"/>
      <c r="AC107" s="189"/>
      <c r="AD107" s="189"/>
      <c r="AE107" s="189"/>
      <c r="AF107" s="189"/>
      <c r="AG107" s="189"/>
      <c r="AH107" s="189"/>
      <c r="AI107" s="189"/>
      <c r="AJ107" s="189"/>
      <c r="AK107" s="189"/>
      <c r="AL107" s="189"/>
      <c r="AM107" s="189"/>
      <c r="AN107" s="189"/>
      <c r="AO107" s="189"/>
      <c r="AP107" s="189"/>
      <c r="AQ107" s="189"/>
      <c r="AR107" s="189"/>
      <c r="AS107" s="189"/>
      <c r="AT107" s="189"/>
      <c r="AU107" s="189"/>
      <c r="AV107" s="189"/>
      <c r="AW107" s="189"/>
      <c r="AX107" s="189"/>
      <c r="AY107" s="189"/>
      <c r="AZ107" s="189"/>
      <c r="BA107" s="189"/>
    </row>
    <row r="108" spans="1:53" x14ac:dyDescent="0.25">
      <c r="A108" s="428" t="str">
        <f t="shared" si="13"/>
        <v>9p/kWh, high capex, high grid</v>
      </c>
      <c r="B108" s="431">
        <v>0</v>
      </c>
      <c r="C108" s="431">
        <v>0</v>
      </c>
      <c r="D108" s="431">
        <v>5026.9667399170339</v>
      </c>
      <c r="E108" s="431">
        <v>4111.6262810635253</v>
      </c>
      <c r="F108" s="431">
        <v>6000</v>
      </c>
      <c r="G108" s="431">
        <v>6000</v>
      </c>
      <c r="H108" s="431">
        <v>0</v>
      </c>
      <c r="I108" s="431">
        <v>0</v>
      </c>
      <c r="J108" s="431">
        <v>0</v>
      </c>
      <c r="K108" s="431">
        <v>0</v>
      </c>
      <c r="L108" s="189"/>
      <c r="M108" s="189"/>
      <c r="N108" s="189"/>
      <c r="O108" s="189"/>
      <c r="P108" s="189"/>
      <c r="Q108" s="189"/>
      <c r="R108" s="189"/>
      <c r="S108" s="189"/>
      <c r="T108" s="189"/>
      <c r="U108" s="189"/>
      <c r="V108" s="189"/>
      <c r="W108" s="189"/>
      <c r="X108" s="189"/>
      <c r="Y108" s="189"/>
      <c r="Z108" s="189"/>
      <c r="AA108" s="189"/>
      <c r="AB108" s="189"/>
      <c r="AC108" s="189"/>
      <c r="AD108" s="189"/>
      <c r="AE108" s="189"/>
      <c r="AF108" s="189"/>
      <c r="AG108" s="189"/>
      <c r="AH108" s="189"/>
      <c r="AI108" s="189"/>
      <c r="AJ108" s="189"/>
      <c r="AK108" s="189"/>
      <c r="AL108" s="189"/>
      <c r="AM108" s="189"/>
      <c r="AN108" s="189"/>
      <c r="AO108" s="189"/>
      <c r="AP108" s="189"/>
      <c r="AQ108" s="189"/>
      <c r="AR108" s="189"/>
      <c r="AS108" s="189"/>
      <c r="AT108" s="189"/>
      <c r="AU108" s="189"/>
      <c r="AV108" s="189"/>
      <c r="AW108" s="189"/>
      <c r="AX108" s="189"/>
      <c r="AY108" s="189"/>
      <c r="AZ108" s="189"/>
      <c r="BA108" s="189"/>
    </row>
    <row r="109" spans="1:53" x14ac:dyDescent="0.25">
      <c r="A109" s="428" t="str">
        <f t="shared" si="13"/>
        <v>10p/kWh, mid capex, high grid</v>
      </c>
      <c r="B109" s="431">
        <v>6000</v>
      </c>
      <c r="C109" s="431">
        <v>6000</v>
      </c>
      <c r="D109" s="431">
        <v>6000</v>
      </c>
      <c r="E109" s="431">
        <v>6000</v>
      </c>
      <c r="F109" s="431">
        <v>6000</v>
      </c>
      <c r="G109" s="431">
        <v>5557.5</v>
      </c>
      <c r="H109" s="431">
        <v>0</v>
      </c>
      <c r="I109" s="431">
        <v>0</v>
      </c>
      <c r="J109" s="431">
        <v>0</v>
      </c>
      <c r="K109" s="431">
        <v>0</v>
      </c>
      <c r="L109" s="189"/>
      <c r="M109" s="189"/>
      <c r="N109" s="189"/>
      <c r="O109" s="189"/>
      <c r="P109" s="189"/>
      <c r="Q109" s="189"/>
      <c r="R109" s="189"/>
      <c r="S109" s="189"/>
      <c r="T109" s="189"/>
      <c r="U109" s="189"/>
      <c r="V109" s="189"/>
      <c r="W109" s="189"/>
      <c r="X109" s="189"/>
      <c r="Y109" s="189"/>
      <c r="Z109" s="189"/>
      <c r="AA109" s="189"/>
      <c r="AB109" s="189"/>
      <c r="AC109" s="189"/>
      <c r="AD109" s="189"/>
      <c r="AE109" s="189"/>
      <c r="AF109" s="189"/>
      <c r="AG109" s="189"/>
      <c r="AH109" s="189"/>
      <c r="AI109" s="189"/>
      <c r="AJ109" s="189"/>
      <c r="AK109" s="189"/>
      <c r="AL109" s="189"/>
      <c r="AM109" s="189"/>
      <c r="AN109" s="189"/>
      <c r="AO109" s="189"/>
      <c r="AP109" s="189"/>
      <c r="AQ109" s="189"/>
      <c r="AR109" s="189"/>
      <c r="AS109" s="189"/>
      <c r="AT109" s="189"/>
      <c r="AU109" s="189"/>
      <c r="AV109" s="189"/>
      <c r="AW109" s="189"/>
      <c r="AX109" s="189"/>
      <c r="AY109" s="189"/>
      <c r="AZ109" s="189"/>
      <c r="BA109" s="189"/>
    </row>
    <row r="110" spans="1:53" x14ac:dyDescent="0.25">
      <c r="A110" s="428" t="str">
        <f t="shared" si="13"/>
        <v>10p/kWh, high capex, high grid</v>
      </c>
      <c r="B110" s="431">
        <v>1286.5836226485826</v>
      </c>
      <c r="C110" s="431">
        <v>0</v>
      </c>
      <c r="D110" s="431">
        <v>6000</v>
      </c>
      <c r="E110" s="431">
        <v>6000</v>
      </c>
      <c r="F110" s="431">
        <v>6000</v>
      </c>
      <c r="G110" s="431">
        <v>6000</v>
      </c>
      <c r="H110" s="431">
        <v>0</v>
      </c>
      <c r="I110" s="431">
        <v>0</v>
      </c>
      <c r="J110" s="431">
        <v>0</v>
      </c>
      <c r="K110" s="431">
        <v>0</v>
      </c>
      <c r="L110" s="189"/>
      <c r="M110" s="189"/>
      <c r="N110" s="189"/>
      <c r="O110" s="189"/>
      <c r="P110" s="189"/>
      <c r="Q110" s="189"/>
      <c r="R110" s="189"/>
      <c r="S110" s="189"/>
      <c r="T110" s="189"/>
      <c r="U110" s="189"/>
      <c r="V110" s="189"/>
      <c r="W110" s="189"/>
      <c r="X110" s="189"/>
      <c r="Y110" s="189"/>
      <c r="Z110" s="189"/>
      <c r="AA110" s="189"/>
      <c r="AB110" s="189"/>
      <c r="AC110" s="189"/>
      <c r="AD110" s="189"/>
      <c r="AE110" s="189"/>
      <c r="AF110" s="189"/>
      <c r="AG110" s="189"/>
      <c r="AH110" s="189"/>
      <c r="AI110" s="189"/>
      <c r="AJ110" s="189"/>
      <c r="AK110" s="189"/>
      <c r="AL110" s="189"/>
      <c r="AM110" s="189"/>
      <c r="AN110" s="189"/>
      <c r="AO110" s="189"/>
      <c r="AP110" s="189"/>
      <c r="AQ110" s="189"/>
      <c r="AR110" s="189"/>
      <c r="AS110" s="189"/>
      <c r="AT110" s="189"/>
      <c r="AU110" s="189"/>
      <c r="AV110" s="189"/>
      <c r="AW110" s="189"/>
      <c r="AX110" s="189"/>
      <c r="AY110" s="189"/>
      <c r="AZ110" s="189"/>
      <c r="BA110" s="189"/>
    </row>
    <row r="111" spans="1:53" x14ac:dyDescent="0.25">
      <c r="A111" s="428" t="str">
        <f t="shared" si="13"/>
        <v>12p/kWh, mid capex, high grid</v>
      </c>
      <c r="B111" s="431">
        <v>6000</v>
      </c>
      <c r="C111" s="431">
        <v>6000</v>
      </c>
      <c r="D111" s="431">
        <v>6000</v>
      </c>
      <c r="E111" s="431">
        <v>6000</v>
      </c>
      <c r="F111" s="431">
        <v>6000</v>
      </c>
      <c r="G111" s="431">
        <v>5557.5</v>
      </c>
      <c r="H111" s="431">
        <v>0</v>
      </c>
      <c r="I111" s="431">
        <v>0</v>
      </c>
      <c r="J111" s="431">
        <v>0</v>
      </c>
      <c r="K111" s="431">
        <v>0</v>
      </c>
      <c r="L111" s="189"/>
      <c r="M111" s="189"/>
      <c r="N111" s="189"/>
      <c r="O111" s="189"/>
      <c r="P111" s="189"/>
      <c r="Q111" s="189"/>
      <c r="R111" s="189"/>
      <c r="S111" s="189"/>
      <c r="T111" s="189"/>
      <c r="U111" s="189"/>
      <c r="V111" s="189"/>
      <c r="W111" s="189"/>
      <c r="X111" s="189"/>
      <c r="Y111" s="189"/>
      <c r="Z111" s="189"/>
      <c r="AA111" s="189"/>
      <c r="AB111" s="189"/>
      <c r="AC111" s="189"/>
      <c r="AD111" s="189"/>
      <c r="AE111" s="189"/>
      <c r="AF111" s="189"/>
      <c r="AG111" s="189"/>
      <c r="AH111" s="189"/>
      <c r="AI111" s="189"/>
      <c r="AJ111" s="189"/>
      <c r="AK111" s="189"/>
      <c r="AL111" s="189"/>
      <c r="AM111" s="189"/>
      <c r="AN111" s="189"/>
      <c r="AO111" s="189"/>
      <c r="AP111" s="189"/>
      <c r="AQ111" s="189"/>
      <c r="AR111" s="189"/>
      <c r="AS111" s="189"/>
      <c r="AT111" s="189"/>
      <c r="AU111" s="189"/>
      <c r="AV111" s="189"/>
      <c r="AW111" s="189"/>
      <c r="AX111" s="189"/>
      <c r="AY111" s="189"/>
      <c r="AZ111" s="189"/>
      <c r="BA111" s="189"/>
    </row>
    <row r="112" spans="1:53" x14ac:dyDescent="0.25">
      <c r="A112" s="428" t="str">
        <f>A97</f>
        <v>12p/kWh, high capex, high grid</v>
      </c>
      <c r="B112" s="431">
        <v>6000</v>
      </c>
      <c r="C112" s="431">
        <v>6000</v>
      </c>
      <c r="D112" s="431">
        <v>6000</v>
      </c>
      <c r="E112" s="431">
        <v>6000</v>
      </c>
      <c r="F112" s="431">
        <v>6000</v>
      </c>
      <c r="G112" s="431">
        <v>6000</v>
      </c>
      <c r="H112" s="431">
        <v>0</v>
      </c>
      <c r="I112" s="431">
        <v>0</v>
      </c>
      <c r="J112" s="431">
        <v>0</v>
      </c>
      <c r="K112" s="431">
        <v>0</v>
      </c>
      <c r="L112" s="189"/>
      <c r="M112" s="189"/>
      <c r="N112" s="189"/>
      <c r="O112" s="189"/>
      <c r="P112" s="189"/>
      <c r="Q112" s="189"/>
      <c r="R112" s="189"/>
      <c r="S112" s="189"/>
      <c r="T112" s="189"/>
      <c r="U112" s="189"/>
      <c r="V112" s="189"/>
      <c r="W112" s="189"/>
      <c r="X112" s="189"/>
      <c r="Y112" s="189"/>
      <c r="Z112" s="189"/>
      <c r="AA112" s="189"/>
      <c r="AB112" s="189"/>
      <c r="AC112" s="189"/>
      <c r="AD112" s="189"/>
      <c r="AE112" s="189"/>
      <c r="AF112" s="189"/>
      <c r="AG112" s="189"/>
      <c r="AH112" s="189"/>
      <c r="AI112" s="189"/>
      <c r="AJ112" s="189"/>
      <c r="AK112" s="189"/>
      <c r="AL112" s="189"/>
      <c r="AM112" s="189"/>
      <c r="AN112" s="189"/>
      <c r="AO112" s="189"/>
      <c r="AP112" s="189"/>
      <c r="AQ112" s="189"/>
      <c r="AR112" s="189"/>
      <c r="AS112" s="189"/>
      <c r="AT112" s="189"/>
      <c r="AU112" s="189"/>
      <c r="AV112" s="189"/>
      <c r="AW112" s="189"/>
      <c r="AX112" s="189"/>
      <c r="AY112" s="189"/>
      <c r="AZ112" s="189"/>
      <c r="BA112" s="189"/>
    </row>
    <row r="113" spans="1:53" x14ac:dyDescent="0.25">
      <c r="A113" s="189"/>
      <c r="B113" s="189"/>
      <c r="C113" s="189"/>
      <c r="D113" s="189"/>
      <c r="E113" s="189"/>
      <c r="F113" s="189"/>
      <c r="G113" s="189"/>
      <c r="H113" s="189"/>
      <c r="I113" s="189"/>
      <c r="J113" s="189"/>
      <c r="K113" s="189"/>
      <c r="L113" s="189"/>
      <c r="M113" s="189"/>
      <c r="N113" s="189"/>
      <c r="O113" s="189"/>
      <c r="P113" s="189"/>
      <c r="Q113" s="189"/>
      <c r="R113" s="189"/>
      <c r="S113" s="189"/>
      <c r="T113" s="189"/>
      <c r="U113" s="189"/>
      <c r="V113" s="189"/>
      <c r="W113" s="189"/>
      <c r="X113" s="189"/>
      <c r="Y113" s="189"/>
      <c r="Z113" s="189"/>
      <c r="AA113" s="189"/>
      <c r="AB113" s="189"/>
      <c r="AC113" s="189"/>
      <c r="AD113" s="189"/>
      <c r="AE113" s="189"/>
      <c r="AF113" s="189"/>
      <c r="AG113" s="189"/>
      <c r="AH113" s="189"/>
      <c r="AI113" s="189"/>
      <c r="AJ113" s="189"/>
      <c r="AK113" s="189"/>
      <c r="AL113" s="189"/>
      <c r="AM113" s="189"/>
      <c r="AN113" s="189"/>
      <c r="AO113" s="189"/>
      <c r="AP113" s="189"/>
      <c r="AQ113" s="189"/>
      <c r="AR113" s="189"/>
      <c r="AS113" s="189"/>
      <c r="AT113" s="189"/>
      <c r="AU113" s="189"/>
      <c r="AV113" s="189"/>
      <c r="AW113" s="189"/>
      <c r="AX113" s="189"/>
      <c r="AY113" s="189"/>
      <c r="AZ113" s="189"/>
      <c r="BA113" s="189"/>
    </row>
    <row r="114" spans="1:53" x14ac:dyDescent="0.25">
      <c r="A114" s="432" t="str">
        <f>A51</f>
        <v>Av. annual shareholder return</v>
      </c>
      <c r="B114" s="189"/>
      <c r="C114" s="189"/>
      <c r="D114" s="189"/>
      <c r="E114" s="189"/>
      <c r="F114" s="189"/>
      <c r="G114" s="189"/>
      <c r="H114" s="189"/>
      <c r="I114" s="189"/>
      <c r="J114" s="189"/>
      <c r="K114" s="189"/>
      <c r="L114" s="189"/>
      <c r="M114" s="189"/>
      <c r="N114" s="189"/>
      <c r="O114" s="189"/>
      <c r="P114" s="189"/>
      <c r="Q114" s="189"/>
      <c r="R114" s="189"/>
      <c r="S114" s="189"/>
      <c r="T114" s="189"/>
      <c r="U114" s="189"/>
      <c r="V114" s="189"/>
      <c r="W114" s="189"/>
      <c r="X114" s="189"/>
      <c r="Y114" s="189"/>
      <c r="Z114" s="189"/>
      <c r="AA114" s="189"/>
      <c r="AB114" s="189"/>
      <c r="AC114" s="189"/>
      <c r="AD114" s="189"/>
      <c r="AE114" s="189"/>
      <c r="AF114" s="189"/>
      <c r="AG114" s="189"/>
      <c r="AH114" s="189"/>
      <c r="AI114" s="189"/>
      <c r="AJ114" s="189"/>
      <c r="AK114" s="189"/>
      <c r="AL114" s="189"/>
      <c r="AM114" s="189"/>
      <c r="AN114" s="189"/>
      <c r="AO114" s="189"/>
      <c r="AP114" s="189"/>
      <c r="AQ114" s="189"/>
      <c r="AR114" s="189"/>
      <c r="AS114" s="189"/>
      <c r="AT114" s="189"/>
      <c r="AU114" s="189"/>
      <c r="AV114" s="189"/>
      <c r="AW114" s="189"/>
      <c r="AX114" s="189"/>
      <c r="AY114" s="189"/>
      <c r="AZ114" s="189"/>
      <c r="BA114" s="189"/>
    </row>
    <row r="115" spans="1:53" ht="39.6" x14ac:dyDescent="0.25">
      <c r="A115" s="433">
        <f>B51</f>
        <v>0</v>
      </c>
      <c r="B115" s="426" t="str">
        <f>B100</f>
        <v>500kW, 
£500/acre</v>
      </c>
      <c r="C115" s="426" t="str">
        <f t="shared" ref="C115:K115" si="14">C100</f>
        <v>500kW, 
£1000/acre</v>
      </c>
      <c r="D115" s="426" t="str">
        <f t="shared" si="14"/>
        <v>300kW, 
£500/acre</v>
      </c>
      <c r="E115" s="427" t="str">
        <f t="shared" si="14"/>
        <v>300kW, 
£1000/acre</v>
      </c>
      <c r="F115" s="427" t="str">
        <f t="shared" si="14"/>
        <v>300kW, 
£500/acre (no export)</v>
      </c>
      <c r="G115" s="427" t="str">
        <f t="shared" si="14"/>
        <v>300kW, 
£1000/acre (no export)</v>
      </c>
      <c r="H115" s="427" t="str">
        <f t="shared" si="14"/>
        <v>500kW, 
£500/acre (no grant)</v>
      </c>
      <c r="I115" s="427" t="str">
        <f t="shared" si="14"/>
        <v>Blank site 2</v>
      </c>
      <c r="J115" s="427" t="str">
        <f t="shared" si="14"/>
        <v>Blank site 3</v>
      </c>
      <c r="K115" s="427" t="str">
        <f t="shared" si="14"/>
        <v>Blank site 4</v>
      </c>
      <c r="L115" s="189"/>
      <c r="M115" s="189"/>
      <c r="N115" s="189"/>
      <c r="O115" s="189"/>
      <c r="P115" s="189"/>
      <c r="Q115" s="189"/>
      <c r="R115" s="189"/>
      <c r="S115" s="189"/>
      <c r="T115" s="189"/>
      <c r="U115" s="189"/>
      <c r="V115" s="189"/>
      <c r="W115" s="189"/>
      <c r="X115" s="189"/>
      <c r="Y115" s="189"/>
      <c r="Z115" s="189"/>
      <c r="AA115" s="189"/>
      <c r="AB115" s="189"/>
      <c r="AC115" s="189"/>
      <c r="AD115" s="189"/>
      <c r="AE115" s="189"/>
      <c r="AF115" s="189"/>
      <c r="AG115" s="189"/>
      <c r="AH115" s="189"/>
      <c r="AI115" s="189"/>
      <c r="AJ115" s="189"/>
      <c r="AK115" s="189"/>
      <c r="AL115" s="189"/>
      <c r="AM115" s="189"/>
      <c r="AN115" s="189"/>
      <c r="AO115" s="189"/>
      <c r="AP115" s="189"/>
      <c r="AQ115" s="189"/>
      <c r="AR115" s="189"/>
      <c r="AS115" s="189"/>
      <c r="AT115" s="189"/>
      <c r="AU115" s="189"/>
      <c r="AV115" s="189"/>
      <c r="AW115" s="189"/>
      <c r="AX115" s="189"/>
      <c r="AY115" s="189"/>
      <c r="AZ115" s="189"/>
      <c r="BA115" s="189"/>
    </row>
    <row r="116" spans="1:53" x14ac:dyDescent="0.25">
      <c r="A116" s="428" t="str">
        <f>A101</f>
        <v>9p/kWh, favourable  capex</v>
      </c>
      <c r="B116" s="434">
        <f t="dataTable" ref="B116:K127" dt2D="1" dtr="1" r1="B2" r2="B3" ca="1"/>
        <v>3.0000000000000016E-2</v>
      </c>
      <c r="C116" s="434">
        <v>3.0000000000000016E-2</v>
      </c>
      <c r="D116" s="434">
        <v>3.0000000000000016E-2</v>
      </c>
      <c r="E116" s="434">
        <v>3.0000000000000016E-2</v>
      </c>
      <c r="F116" s="434">
        <v>3.0000000000000016E-2</v>
      </c>
      <c r="G116" s="434">
        <v>3.0000000000000016E-2</v>
      </c>
      <c r="H116" s="434">
        <v>1.8750000000000006E-2</v>
      </c>
      <c r="I116" s="434">
        <v>0</v>
      </c>
      <c r="J116" s="434">
        <v>0</v>
      </c>
      <c r="K116" s="434">
        <v>0</v>
      </c>
      <c r="L116" s="189"/>
      <c r="M116" s="189"/>
      <c r="N116" s="189"/>
      <c r="O116" s="189"/>
      <c r="P116" s="189"/>
      <c r="Q116" s="189"/>
      <c r="R116" s="189"/>
      <c r="S116" s="189"/>
      <c r="T116" s="189"/>
      <c r="U116" s="189"/>
      <c r="V116" s="189"/>
      <c r="W116" s="189"/>
      <c r="X116" s="189"/>
      <c r="Y116" s="189"/>
      <c r="Z116" s="189"/>
      <c r="AA116" s="189"/>
      <c r="AB116" s="189"/>
      <c r="AC116" s="189"/>
      <c r="AD116" s="189"/>
      <c r="AE116" s="189"/>
      <c r="AF116" s="189"/>
      <c r="AG116" s="189"/>
      <c r="AH116" s="189"/>
      <c r="AI116" s="189"/>
      <c r="AJ116" s="189"/>
      <c r="AK116" s="189"/>
      <c r="AL116" s="189"/>
      <c r="AM116" s="189"/>
      <c r="AN116" s="189"/>
      <c r="AO116" s="189"/>
      <c r="AP116" s="189"/>
      <c r="AQ116" s="189"/>
      <c r="AR116" s="189"/>
      <c r="AS116" s="189"/>
      <c r="AT116" s="189"/>
      <c r="AU116" s="189"/>
      <c r="AV116" s="189"/>
      <c r="AW116" s="189"/>
      <c r="AX116" s="189"/>
      <c r="AY116" s="189"/>
      <c r="AZ116" s="189"/>
      <c r="BA116" s="189"/>
    </row>
    <row r="117" spans="1:53" x14ac:dyDescent="0.25">
      <c r="A117" s="428" t="str">
        <f t="shared" ref="A117:A127" si="15">A102</f>
        <v>9p/kWh, high capex</v>
      </c>
      <c r="B117" s="434">
        <v>2.0195842098579529E-2</v>
      </c>
      <c r="C117" s="434">
        <v>1.8883249290817791E-2</v>
      </c>
      <c r="D117" s="434">
        <v>3.0000000000000016E-2</v>
      </c>
      <c r="E117" s="434">
        <v>3.0000000000000016E-2</v>
      </c>
      <c r="F117" s="434">
        <v>3.0000000000000016E-2</v>
      </c>
      <c r="G117" s="434">
        <v>3.0000000000000016E-2</v>
      </c>
      <c r="H117" s="434">
        <v>1.8750000000000006E-2</v>
      </c>
      <c r="I117" s="434">
        <v>0</v>
      </c>
      <c r="J117" s="434">
        <v>0</v>
      </c>
      <c r="K117" s="434">
        <v>0</v>
      </c>
      <c r="L117" s="189"/>
      <c r="M117" s="189"/>
      <c r="N117" s="189"/>
      <c r="O117" s="189"/>
      <c r="P117" s="189"/>
      <c r="Q117" s="189"/>
      <c r="R117" s="189"/>
      <c r="S117" s="189"/>
      <c r="T117" s="189"/>
      <c r="U117" s="189"/>
      <c r="V117" s="189"/>
      <c r="W117" s="189"/>
      <c r="X117" s="189"/>
      <c r="Y117" s="189"/>
      <c r="Z117" s="189"/>
      <c r="AA117" s="189"/>
      <c r="AB117" s="189"/>
      <c r="AC117" s="189"/>
      <c r="AD117" s="189"/>
      <c r="AE117" s="189"/>
      <c r="AF117" s="189"/>
      <c r="AG117" s="189"/>
      <c r="AH117" s="189"/>
      <c r="AI117" s="189"/>
      <c r="AJ117" s="189"/>
      <c r="AK117" s="189"/>
      <c r="AL117" s="189"/>
      <c r="AM117" s="189"/>
      <c r="AN117" s="189"/>
      <c r="AO117" s="189"/>
      <c r="AP117" s="189"/>
      <c r="AQ117" s="189"/>
      <c r="AR117" s="189"/>
      <c r="AS117" s="189"/>
      <c r="AT117" s="189"/>
      <c r="AU117" s="189"/>
      <c r="AV117" s="189"/>
      <c r="AW117" s="189"/>
      <c r="AX117" s="189"/>
      <c r="AY117" s="189"/>
      <c r="AZ117" s="189"/>
      <c r="BA117" s="189"/>
    </row>
    <row r="118" spans="1:53" x14ac:dyDescent="0.25">
      <c r="A118" s="428" t="str">
        <f t="shared" si="15"/>
        <v>10p/kWh, favourable  capex</v>
      </c>
      <c r="B118" s="434">
        <v>3.0000000000000016E-2</v>
      </c>
      <c r="C118" s="434">
        <v>3.0000000000000016E-2</v>
      </c>
      <c r="D118" s="434">
        <v>3.0000000000000016E-2</v>
      </c>
      <c r="E118" s="434">
        <v>3.0000000000000016E-2</v>
      </c>
      <c r="F118" s="434">
        <v>3.0000000000000016E-2</v>
      </c>
      <c r="G118" s="434">
        <v>3.0000000000000016E-2</v>
      </c>
      <c r="H118" s="434">
        <v>1.8750000000000006E-2</v>
      </c>
      <c r="I118" s="434">
        <v>0</v>
      </c>
      <c r="J118" s="434">
        <v>0</v>
      </c>
      <c r="K118" s="434">
        <v>0</v>
      </c>
      <c r="L118" s="189"/>
      <c r="M118" s="189"/>
      <c r="N118" s="189"/>
      <c r="O118" s="189"/>
      <c r="P118" s="189"/>
      <c r="Q118" s="189"/>
      <c r="R118" s="189"/>
      <c r="S118" s="189"/>
      <c r="T118" s="189"/>
      <c r="U118" s="189"/>
      <c r="V118" s="189"/>
      <c r="W118" s="189"/>
      <c r="X118" s="189"/>
      <c r="Y118" s="189"/>
      <c r="Z118" s="189"/>
      <c r="AA118" s="189"/>
      <c r="AB118" s="189"/>
      <c r="AC118" s="189"/>
      <c r="AD118" s="189"/>
      <c r="AE118" s="189"/>
      <c r="AF118" s="189"/>
      <c r="AG118" s="189"/>
      <c r="AH118" s="189"/>
      <c r="AI118" s="189"/>
      <c r="AJ118" s="189"/>
      <c r="AK118" s="189"/>
      <c r="AL118" s="189"/>
      <c r="AM118" s="189"/>
      <c r="AN118" s="189"/>
      <c r="AO118" s="189"/>
      <c r="AP118" s="189"/>
      <c r="AQ118" s="189"/>
      <c r="AR118" s="189"/>
      <c r="AS118" s="189"/>
      <c r="AT118" s="189"/>
      <c r="AU118" s="189"/>
      <c r="AV118" s="189"/>
      <c r="AW118" s="189"/>
      <c r="AX118" s="189"/>
      <c r="AY118" s="189"/>
      <c r="AZ118" s="189"/>
      <c r="BA118" s="189"/>
    </row>
    <row r="119" spans="1:53" x14ac:dyDescent="0.25">
      <c r="A119" s="428" t="str">
        <f t="shared" si="15"/>
        <v>10p/kWh, high capex</v>
      </c>
      <c r="B119" s="434">
        <v>2.6651275353561207E-2</v>
      </c>
      <c r="C119" s="434">
        <v>2.3746292251411217E-2</v>
      </c>
      <c r="D119" s="434">
        <v>3.0000000000000016E-2</v>
      </c>
      <c r="E119" s="434">
        <v>3.0000000000000016E-2</v>
      </c>
      <c r="F119" s="434">
        <v>3.0000000000000016E-2</v>
      </c>
      <c r="G119" s="434">
        <v>3.0000000000000016E-2</v>
      </c>
      <c r="H119" s="434">
        <v>1.8750000000000006E-2</v>
      </c>
      <c r="I119" s="434">
        <v>0</v>
      </c>
      <c r="J119" s="434">
        <v>0</v>
      </c>
      <c r="K119" s="434">
        <v>0</v>
      </c>
      <c r="L119" s="189"/>
      <c r="M119" s="189"/>
      <c r="N119" s="189"/>
      <c r="O119" s="189"/>
      <c r="P119" s="189"/>
      <c r="Q119" s="189"/>
      <c r="R119" s="189"/>
      <c r="S119" s="189"/>
      <c r="T119" s="189"/>
      <c r="U119" s="189"/>
      <c r="V119" s="189"/>
      <c r="W119" s="189"/>
      <c r="X119" s="189"/>
      <c r="Y119" s="189"/>
      <c r="Z119" s="189"/>
      <c r="AA119" s="189"/>
      <c r="AB119" s="189"/>
      <c r="AC119" s="189"/>
      <c r="AD119" s="189"/>
      <c r="AE119" s="189"/>
      <c r="AF119" s="189"/>
      <c r="AG119" s="189"/>
      <c r="AH119" s="189"/>
      <c r="AI119" s="189"/>
      <c r="AJ119" s="189"/>
      <c r="AK119" s="189"/>
      <c r="AL119" s="189"/>
      <c r="AM119" s="189"/>
      <c r="AN119" s="189"/>
      <c r="AO119" s="189"/>
      <c r="AP119" s="189"/>
      <c r="AQ119" s="189"/>
      <c r="AR119" s="189"/>
      <c r="AS119" s="189"/>
      <c r="AT119" s="189"/>
      <c r="AU119" s="189"/>
      <c r="AV119" s="189"/>
      <c r="AW119" s="189"/>
      <c r="AX119" s="189"/>
      <c r="AY119" s="189"/>
      <c r="AZ119" s="189"/>
      <c r="BA119" s="189"/>
    </row>
    <row r="120" spans="1:53" x14ac:dyDescent="0.25">
      <c r="A120" s="428" t="str">
        <f t="shared" si="15"/>
        <v>12p/kWh, favourable  capex</v>
      </c>
      <c r="B120" s="434">
        <v>3.0000000000000016E-2</v>
      </c>
      <c r="C120" s="434">
        <v>3.0000000000000016E-2</v>
      </c>
      <c r="D120" s="434">
        <v>3.0000000000000016E-2</v>
      </c>
      <c r="E120" s="434">
        <v>3.0000000000000016E-2</v>
      </c>
      <c r="F120" s="434">
        <v>3.0000000000000016E-2</v>
      </c>
      <c r="G120" s="434">
        <v>3.0000000000000016E-2</v>
      </c>
      <c r="H120" s="434">
        <v>1.8750000000000006E-2</v>
      </c>
      <c r="I120" s="434">
        <v>0</v>
      </c>
      <c r="J120" s="434">
        <v>0</v>
      </c>
      <c r="K120" s="434">
        <v>0</v>
      </c>
      <c r="L120" s="189"/>
      <c r="M120" s="189"/>
      <c r="N120" s="189"/>
      <c r="O120" s="189"/>
      <c r="P120" s="189"/>
      <c r="Q120" s="189"/>
      <c r="R120" s="189"/>
      <c r="S120" s="189"/>
      <c r="T120" s="189"/>
      <c r="U120" s="189"/>
      <c r="V120" s="189"/>
      <c r="W120" s="189"/>
      <c r="X120" s="189"/>
      <c r="Y120" s="189"/>
      <c r="Z120" s="189"/>
      <c r="AA120" s="189"/>
      <c r="AB120" s="189"/>
      <c r="AC120" s="189"/>
      <c r="AD120" s="189"/>
      <c r="AE120" s="189"/>
      <c r="AF120" s="189"/>
      <c r="AG120" s="189"/>
      <c r="AH120" s="189"/>
      <c r="AI120" s="189"/>
      <c r="AJ120" s="189"/>
      <c r="AK120" s="189"/>
      <c r="AL120" s="189"/>
      <c r="AM120" s="189"/>
      <c r="AN120" s="189"/>
      <c r="AO120" s="189"/>
      <c r="AP120" s="189"/>
      <c r="AQ120" s="189"/>
      <c r="AR120" s="189"/>
      <c r="AS120" s="189"/>
      <c r="AT120" s="189"/>
      <c r="AU120" s="189"/>
      <c r="AV120" s="189"/>
      <c r="AW120" s="189"/>
      <c r="AX120" s="189"/>
      <c r="AY120" s="189"/>
      <c r="AZ120" s="189"/>
      <c r="BA120" s="189"/>
    </row>
    <row r="121" spans="1:53" x14ac:dyDescent="0.25">
      <c r="A121" s="428" t="str">
        <f t="shared" si="15"/>
        <v>12p/kWh, high capex</v>
      </c>
      <c r="B121" s="434">
        <v>3.0000000000000016E-2</v>
      </c>
      <c r="C121" s="434">
        <v>3.0000000000000016E-2</v>
      </c>
      <c r="D121" s="434">
        <v>3.0000000000000016E-2</v>
      </c>
      <c r="E121" s="434">
        <v>3.0000000000000016E-2</v>
      </c>
      <c r="F121" s="434">
        <v>3.0000000000000016E-2</v>
      </c>
      <c r="G121" s="434">
        <v>3.0000000000000016E-2</v>
      </c>
      <c r="H121" s="434">
        <v>1.8750000000000006E-2</v>
      </c>
      <c r="I121" s="434">
        <v>0</v>
      </c>
      <c r="J121" s="434">
        <v>0</v>
      </c>
      <c r="K121" s="434">
        <v>0</v>
      </c>
      <c r="L121" s="189"/>
      <c r="M121" s="189"/>
      <c r="N121" s="189"/>
      <c r="O121" s="189"/>
      <c r="P121" s="189"/>
      <c r="Q121" s="189"/>
      <c r="R121" s="189"/>
      <c r="S121" s="189"/>
      <c r="T121" s="189"/>
      <c r="U121" s="189"/>
      <c r="V121" s="189"/>
      <c r="W121" s="189"/>
      <c r="X121" s="189"/>
      <c r="Y121" s="189"/>
      <c r="Z121" s="189"/>
      <c r="AA121" s="189"/>
      <c r="AB121" s="189"/>
      <c r="AC121" s="189"/>
      <c r="AD121" s="189"/>
      <c r="AE121" s="189"/>
      <c r="AF121" s="189"/>
      <c r="AG121" s="189"/>
      <c r="AH121" s="189"/>
      <c r="AI121" s="189"/>
      <c r="AJ121" s="189"/>
      <c r="AK121" s="189"/>
      <c r="AL121" s="189"/>
      <c r="AM121" s="189"/>
      <c r="AN121" s="189"/>
      <c r="AO121" s="189"/>
      <c r="AP121" s="189"/>
      <c r="AQ121" s="189"/>
      <c r="AR121" s="189"/>
      <c r="AS121" s="189"/>
      <c r="AT121" s="189"/>
      <c r="AU121" s="189"/>
      <c r="AV121" s="189"/>
      <c r="AW121" s="189"/>
      <c r="AX121" s="189"/>
      <c r="AY121" s="189"/>
      <c r="AZ121" s="189"/>
      <c r="BA121" s="189"/>
    </row>
    <row r="122" spans="1:53" x14ac:dyDescent="0.25">
      <c r="A122" s="428" t="str">
        <f t="shared" si="15"/>
        <v>9p/kWh, mid capex, high grid</v>
      </c>
      <c r="B122" s="434">
        <v>2.8138561367699613E-2</v>
      </c>
      <c r="C122" s="434">
        <v>2.5463946253958685E-2</v>
      </c>
      <c r="D122" s="434">
        <v>3.0000000000000016E-2</v>
      </c>
      <c r="E122" s="434">
        <v>3.0000000000000016E-2</v>
      </c>
      <c r="F122" s="434">
        <v>3.0000000000000016E-2</v>
      </c>
      <c r="G122" s="434">
        <v>3.0000000000000016E-2</v>
      </c>
      <c r="H122" s="434">
        <v>1.8750000000000006E-2</v>
      </c>
      <c r="I122" s="434">
        <v>0</v>
      </c>
      <c r="J122" s="434">
        <v>0</v>
      </c>
      <c r="K122" s="434">
        <v>0</v>
      </c>
      <c r="L122" s="189"/>
      <c r="M122" s="189"/>
      <c r="N122" s="189"/>
      <c r="O122" s="189"/>
      <c r="P122" s="189"/>
      <c r="Q122" s="189"/>
      <c r="R122" s="189"/>
      <c r="S122" s="189"/>
      <c r="T122" s="189"/>
      <c r="U122" s="189"/>
      <c r="V122" s="189"/>
      <c r="W122" s="189"/>
      <c r="X122" s="189"/>
      <c r="Y122" s="189"/>
      <c r="Z122" s="189"/>
      <c r="AA122" s="189"/>
      <c r="AB122" s="189"/>
      <c r="AC122" s="189"/>
      <c r="AD122" s="189"/>
      <c r="AE122" s="189"/>
      <c r="AF122" s="189"/>
      <c r="AG122" s="189"/>
      <c r="AH122" s="189"/>
      <c r="AI122" s="189"/>
      <c r="AJ122" s="189"/>
      <c r="AK122" s="189"/>
      <c r="AL122" s="189"/>
      <c r="AM122" s="189"/>
      <c r="AN122" s="189"/>
      <c r="AO122" s="189"/>
      <c r="AP122" s="189"/>
      <c r="AQ122" s="189"/>
      <c r="AR122" s="189"/>
      <c r="AS122" s="189"/>
      <c r="AT122" s="189"/>
      <c r="AU122" s="189"/>
      <c r="AV122" s="189"/>
      <c r="AW122" s="189"/>
      <c r="AX122" s="189"/>
      <c r="AY122" s="189"/>
      <c r="AZ122" s="189"/>
      <c r="BA122" s="189"/>
    </row>
    <row r="123" spans="1:53" x14ac:dyDescent="0.25">
      <c r="A123" s="428" t="str">
        <f t="shared" si="15"/>
        <v>9p/kWh, high capex, high grid</v>
      </c>
      <c r="B123" s="434">
        <v>1.8750000000000006E-2</v>
      </c>
      <c r="C123" s="434">
        <v>1.8750000000000006E-2</v>
      </c>
      <c r="D123" s="434">
        <v>2.8549466749414457E-2</v>
      </c>
      <c r="E123" s="434">
        <v>2.6804474917233621E-2</v>
      </c>
      <c r="F123" s="434">
        <v>2.9998707478257652E-2</v>
      </c>
      <c r="G123" s="434">
        <v>3.0000000000000016E-2</v>
      </c>
      <c r="H123" s="434">
        <v>1.8750000000000006E-2</v>
      </c>
      <c r="I123" s="434">
        <v>0</v>
      </c>
      <c r="J123" s="434">
        <v>0</v>
      </c>
      <c r="K123" s="434">
        <v>0</v>
      </c>
      <c r="L123" s="189"/>
      <c r="M123" s="189"/>
      <c r="N123" s="189"/>
      <c r="O123" s="189"/>
      <c r="P123" s="189"/>
      <c r="Q123" s="189"/>
      <c r="R123" s="189"/>
      <c r="S123" s="189"/>
      <c r="T123" s="189"/>
      <c r="U123" s="189"/>
      <c r="V123" s="189"/>
      <c r="W123" s="189"/>
      <c r="X123" s="189"/>
      <c r="Y123" s="189"/>
      <c r="Z123" s="189"/>
      <c r="AA123" s="189"/>
      <c r="AB123" s="189"/>
      <c r="AC123" s="189"/>
      <c r="AD123" s="189"/>
      <c r="AE123" s="189"/>
      <c r="AF123" s="189"/>
      <c r="AG123" s="189"/>
      <c r="AH123" s="189"/>
      <c r="AI123" s="189"/>
      <c r="AJ123" s="189"/>
      <c r="AK123" s="189"/>
      <c r="AL123" s="189"/>
      <c r="AM123" s="189"/>
      <c r="AN123" s="189"/>
      <c r="AO123" s="189"/>
      <c r="AP123" s="189"/>
      <c r="AQ123" s="189"/>
      <c r="AR123" s="189"/>
      <c r="AS123" s="189"/>
      <c r="AT123" s="189"/>
      <c r="AU123" s="189"/>
      <c r="AV123" s="189"/>
      <c r="AW123" s="189"/>
      <c r="AX123" s="189"/>
      <c r="AY123" s="189"/>
      <c r="AZ123" s="189"/>
      <c r="BA123" s="189"/>
    </row>
    <row r="124" spans="1:53" x14ac:dyDescent="0.25">
      <c r="A124" s="428" t="str">
        <f t="shared" si="15"/>
        <v>10p/kWh, mid capex, high grid</v>
      </c>
      <c r="B124" s="434">
        <v>3.0000000000000016E-2</v>
      </c>
      <c r="C124" s="434">
        <v>2.9901286109994679E-2</v>
      </c>
      <c r="D124" s="434">
        <v>3.0000000000000016E-2</v>
      </c>
      <c r="E124" s="434">
        <v>3.0000000000000016E-2</v>
      </c>
      <c r="F124" s="434">
        <v>3.0000000000000016E-2</v>
      </c>
      <c r="G124" s="434">
        <v>3.0000000000000016E-2</v>
      </c>
      <c r="H124" s="434">
        <v>1.8750000000000006E-2</v>
      </c>
      <c r="I124" s="434">
        <v>0</v>
      </c>
      <c r="J124" s="434">
        <v>0</v>
      </c>
      <c r="K124" s="434">
        <v>0</v>
      </c>
      <c r="L124" s="189"/>
      <c r="M124" s="189"/>
      <c r="N124" s="189"/>
      <c r="O124" s="189"/>
      <c r="P124" s="189"/>
      <c r="Q124" s="189"/>
      <c r="R124" s="189"/>
      <c r="S124" s="189"/>
      <c r="T124" s="189"/>
      <c r="U124" s="189"/>
      <c r="V124" s="189"/>
      <c r="W124" s="189"/>
      <c r="X124" s="189"/>
      <c r="Y124" s="189"/>
      <c r="Z124" s="189"/>
      <c r="AA124" s="189"/>
      <c r="AB124" s="189"/>
      <c r="AC124" s="189"/>
      <c r="AD124" s="189"/>
      <c r="AE124" s="189"/>
      <c r="AF124" s="189"/>
      <c r="AG124" s="189"/>
      <c r="AH124" s="189"/>
      <c r="AI124" s="189"/>
      <c r="AJ124" s="189"/>
      <c r="AK124" s="189"/>
      <c r="AL124" s="189"/>
      <c r="AM124" s="189"/>
      <c r="AN124" s="189"/>
      <c r="AO124" s="189"/>
      <c r="AP124" s="189"/>
      <c r="AQ124" s="189"/>
      <c r="AR124" s="189"/>
      <c r="AS124" s="189"/>
      <c r="AT124" s="189"/>
      <c r="AU124" s="189"/>
      <c r="AV124" s="189"/>
      <c r="AW124" s="189"/>
      <c r="AX124" s="189"/>
      <c r="AY124" s="189"/>
      <c r="AZ124" s="189"/>
      <c r="BA124" s="189"/>
    </row>
    <row r="125" spans="1:53" x14ac:dyDescent="0.25">
      <c r="A125" s="428" t="str">
        <f t="shared" si="15"/>
        <v>10p/kWh, high capex, high grid</v>
      </c>
      <c r="B125" s="434">
        <v>2.206573582294008E-2</v>
      </c>
      <c r="C125" s="434">
        <v>1.9856883755121707E-2</v>
      </c>
      <c r="D125" s="434">
        <v>3.0000000000000016E-2</v>
      </c>
      <c r="E125" s="434">
        <v>2.990082746850764E-2</v>
      </c>
      <c r="F125" s="434">
        <v>3.0000000000000016E-2</v>
      </c>
      <c r="G125" s="434">
        <v>3.0000000000000016E-2</v>
      </c>
      <c r="H125" s="434">
        <v>1.8750000000000006E-2</v>
      </c>
      <c r="I125" s="434">
        <v>0</v>
      </c>
      <c r="J125" s="434">
        <v>0</v>
      </c>
      <c r="K125" s="434">
        <v>0</v>
      </c>
      <c r="L125" s="189"/>
      <c r="M125" s="189"/>
      <c r="N125" s="189"/>
      <c r="O125" s="189"/>
      <c r="P125" s="189"/>
      <c r="Q125" s="189"/>
      <c r="R125" s="189"/>
      <c r="S125" s="189"/>
      <c r="T125" s="189"/>
      <c r="U125" s="189"/>
      <c r="V125" s="189"/>
      <c r="W125" s="189"/>
      <c r="X125" s="189"/>
      <c r="Y125" s="189"/>
      <c r="Z125" s="189"/>
      <c r="AA125" s="189"/>
      <c r="AB125" s="189"/>
      <c r="AC125" s="189"/>
      <c r="AD125" s="189"/>
      <c r="AE125" s="189"/>
      <c r="AF125" s="189"/>
      <c r="AG125" s="189"/>
      <c r="AH125" s="189"/>
      <c r="AI125" s="189"/>
      <c r="AJ125" s="189"/>
      <c r="AK125" s="189"/>
      <c r="AL125" s="189"/>
      <c r="AM125" s="189"/>
      <c r="AN125" s="189"/>
      <c r="AO125" s="189"/>
      <c r="AP125" s="189"/>
      <c r="AQ125" s="189"/>
      <c r="AR125" s="189"/>
      <c r="AS125" s="189"/>
      <c r="AT125" s="189"/>
      <c r="AU125" s="189"/>
      <c r="AV125" s="189"/>
      <c r="AW125" s="189"/>
      <c r="AX125" s="189"/>
      <c r="AY125" s="189"/>
      <c r="AZ125" s="189"/>
      <c r="BA125" s="189"/>
    </row>
    <row r="126" spans="1:53" x14ac:dyDescent="0.25">
      <c r="A126" s="428" t="str">
        <f t="shared" si="15"/>
        <v>12p/kWh, mid capex, high grid</v>
      </c>
      <c r="B126" s="434">
        <v>3.0000000000000016E-2</v>
      </c>
      <c r="C126" s="434">
        <v>3.0000000000000016E-2</v>
      </c>
      <c r="D126" s="434">
        <v>3.0000000000000016E-2</v>
      </c>
      <c r="E126" s="434">
        <v>3.0000000000000016E-2</v>
      </c>
      <c r="F126" s="434">
        <v>3.0000000000000016E-2</v>
      </c>
      <c r="G126" s="434">
        <v>3.0000000000000016E-2</v>
      </c>
      <c r="H126" s="434">
        <v>1.8750000000000006E-2</v>
      </c>
      <c r="I126" s="434">
        <v>0</v>
      </c>
      <c r="J126" s="434">
        <v>0</v>
      </c>
      <c r="K126" s="434">
        <v>0</v>
      </c>
      <c r="L126" s="189"/>
      <c r="M126" s="189"/>
      <c r="N126" s="189"/>
      <c r="O126" s="189"/>
      <c r="P126" s="189"/>
      <c r="Q126" s="189"/>
      <c r="R126" s="189"/>
      <c r="S126" s="189"/>
      <c r="T126" s="189"/>
      <c r="U126" s="189"/>
      <c r="V126" s="189"/>
      <c r="W126" s="189"/>
      <c r="X126" s="189"/>
      <c r="Y126" s="189"/>
      <c r="Z126" s="189"/>
      <c r="AA126" s="189"/>
      <c r="AB126" s="189"/>
      <c r="AC126" s="189"/>
      <c r="AD126" s="189"/>
      <c r="AE126" s="189"/>
      <c r="AF126" s="189"/>
      <c r="AG126" s="189"/>
      <c r="AH126" s="189"/>
      <c r="AI126" s="189"/>
      <c r="AJ126" s="189"/>
      <c r="AK126" s="189"/>
      <c r="AL126" s="189"/>
      <c r="AM126" s="189"/>
      <c r="AN126" s="189"/>
      <c r="AO126" s="189"/>
      <c r="AP126" s="189"/>
      <c r="AQ126" s="189"/>
      <c r="AR126" s="189"/>
      <c r="AS126" s="189"/>
      <c r="AT126" s="189"/>
      <c r="AU126" s="189"/>
      <c r="AV126" s="189"/>
      <c r="AW126" s="189"/>
      <c r="AX126" s="189"/>
      <c r="AY126" s="189"/>
      <c r="AZ126" s="189"/>
      <c r="BA126" s="189"/>
    </row>
    <row r="127" spans="1:53" x14ac:dyDescent="0.25">
      <c r="A127" s="428" t="str">
        <f t="shared" si="15"/>
        <v>12p/kWh, high capex, high grid</v>
      </c>
      <c r="B127" s="434">
        <v>3.0000000000000016E-2</v>
      </c>
      <c r="C127" s="434">
        <v>2.988660604484869E-2</v>
      </c>
      <c r="D127" s="434">
        <v>3.0000000000000016E-2</v>
      </c>
      <c r="E127" s="434">
        <v>3.0000000000000016E-2</v>
      </c>
      <c r="F127" s="434">
        <v>3.0000000000000016E-2</v>
      </c>
      <c r="G127" s="434">
        <v>3.0000000000000016E-2</v>
      </c>
      <c r="H127" s="434">
        <v>1.8750000000000006E-2</v>
      </c>
      <c r="I127" s="434">
        <v>0</v>
      </c>
      <c r="J127" s="434">
        <v>0</v>
      </c>
      <c r="K127" s="434">
        <v>0</v>
      </c>
      <c r="L127" s="189"/>
      <c r="M127" s="189"/>
      <c r="N127" s="189"/>
      <c r="O127" s="189"/>
      <c r="P127" s="189"/>
      <c r="Q127" s="189"/>
      <c r="R127" s="189"/>
      <c r="S127" s="189"/>
      <c r="T127" s="189"/>
      <c r="U127" s="189"/>
      <c r="V127" s="189"/>
      <c r="W127" s="189"/>
      <c r="X127" s="189"/>
      <c r="Y127" s="189"/>
      <c r="Z127" s="189"/>
      <c r="AA127" s="189"/>
      <c r="AB127" s="189"/>
      <c r="AC127" s="189"/>
      <c r="AD127" s="189"/>
      <c r="AE127" s="189"/>
      <c r="AF127" s="189"/>
      <c r="AG127" s="189"/>
      <c r="AH127" s="189"/>
      <c r="AI127" s="189"/>
      <c r="AJ127" s="189"/>
      <c r="AK127" s="189"/>
      <c r="AL127" s="189"/>
      <c r="AM127" s="189"/>
      <c r="AN127" s="189"/>
      <c r="AO127" s="189"/>
      <c r="AP127" s="189"/>
      <c r="AQ127" s="189"/>
      <c r="AR127" s="189"/>
      <c r="AS127" s="189"/>
      <c r="AT127" s="189"/>
      <c r="AU127" s="189"/>
      <c r="AV127" s="189"/>
      <c r="AW127" s="189"/>
      <c r="AX127" s="189"/>
      <c r="AY127" s="189"/>
      <c r="AZ127" s="189"/>
      <c r="BA127" s="189"/>
    </row>
    <row r="128" spans="1:53" x14ac:dyDescent="0.25">
      <c r="A128" s="189"/>
      <c r="B128" s="244"/>
      <c r="C128" s="244"/>
      <c r="D128" s="244"/>
      <c r="E128" s="244"/>
      <c r="F128" s="244"/>
      <c r="G128" s="244"/>
      <c r="H128" s="244"/>
      <c r="I128" s="244"/>
      <c r="J128" s="189"/>
      <c r="K128" s="189"/>
      <c r="L128" s="189"/>
      <c r="M128" s="189"/>
      <c r="N128" s="189"/>
      <c r="O128" s="189"/>
      <c r="P128" s="189"/>
      <c r="Q128" s="189"/>
      <c r="R128" s="189"/>
      <c r="S128" s="189"/>
      <c r="T128" s="189"/>
      <c r="U128" s="189"/>
      <c r="V128" s="189"/>
      <c r="W128" s="189"/>
      <c r="X128" s="189"/>
      <c r="Y128" s="189"/>
      <c r="Z128" s="189"/>
      <c r="AA128" s="189"/>
      <c r="AB128" s="189"/>
      <c r="AC128" s="189"/>
      <c r="AD128" s="189"/>
      <c r="AE128" s="189"/>
      <c r="AF128" s="189"/>
      <c r="AG128" s="189"/>
      <c r="AH128" s="189"/>
      <c r="AI128" s="189"/>
      <c r="AJ128" s="189"/>
      <c r="AK128" s="189"/>
      <c r="AL128" s="189"/>
      <c r="AM128" s="189"/>
      <c r="AN128" s="189"/>
      <c r="AO128" s="189"/>
      <c r="AP128" s="189"/>
      <c r="AQ128" s="189"/>
      <c r="AR128" s="189"/>
      <c r="AS128" s="189"/>
      <c r="AT128" s="189"/>
      <c r="AU128" s="189"/>
      <c r="AV128" s="189"/>
      <c r="AW128" s="189"/>
      <c r="AX128" s="189"/>
      <c r="AY128" s="189"/>
      <c r="AZ128" s="189"/>
      <c r="BA128" s="189"/>
    </row>
    <row r="129" spans="1:53" x14ac:dyDescent="0.25">
      <c r="A129" s="189"/>
      <c r="B129" s="189"/>
      <c r="C129" s="189"/>
      <c r="D129" s="189"/>
      <c r="E129" s="189"/>
      <c r="F129" s="189"/>
      <c r="G129" s="189"/>
      <c r="H129" s="189"/>
      <c r="I129" s="189"/>
      <c r="J129" s="189"/>
      <c r="K129" s="189"/>
      <c r="L129" s="189"/>
      <c r="M129" s="189"/>
      <c r="N129" s="189"/>
      <c r="O129" s="189"/>
      <c r="P129" s="189"/>
      <c r="Q129" s="189"/>
      <c r="R129" s="189"/>
      <c r="S129" s="189"/>
      <c r="T129" s="189"/>
      <c r="U129" s="189"/>
      <c r="V129" s="189"/>
      <c r="W129" s="189"/>
      <c r="X129" s="189"/>
      <c r="Y129" s="189"/>
      <c r="Z129" s="189"/>
      <c r="AA129" s="189"/>
      <c r="AB129" s="189"/>
      <c r="AC129" s="189"/>
      <c r="AD129" s="189"/>
      <c r="AE129" s="189"/>
      <c r="AF129" s="189"/>
      <c r="AG129" s="189"/>
      <c r="AH129" s="189"/>
      <c r="AI129" s="189"/>
      <c r="AJ129" s="189"/>
      <c r="AK129" s="189"/>
      <c r="AL129" s="189"/>
      <c r="AM129" s="189"/>
      <c r="AN129" s="189"/>
      <c r="AO129" s="189"/>
      <c r="AP129" s="189"/>
      <c r="AQ129" s="189"/>
      <c r="AR129" s="189"/>
      <c r="AS129" s="189"/>
      <c r="AT129" s="189"/>
      <c r="AU129" s="189"/>
      <c r="AV129" s="189"/>
      <c r="AW129" s="189"/>
      <c r="AX129" s="189"/>
      <c r="AY129" s="189"/>
      <c r="AZ129" s="189"/>
      <c r="BA129" s="189"/>
    </row>
    <row r="130" spans="1:53" x14ac:dyDescent="0.25">
      <c r="A130" s="189"/>
      <c r="B130" s="189"/>
      <c r="C130" s="189"/>
      <c r="D130" s="189"/>
      <c r="E130" s="189"/>
      <c r="F130" s="189"/>
      <c r="G130" s="189"/>
      <c r="H130" s="189"/>
      <c r="I130" s="189"/>
      <c r="J130" s="189"/>
      <c r="K130" s="189"/>
      <c r="L130" s="189"/>
      <c r="M130" s="189"/>
      <c r="N130" s="189"/>
      <c r="O130" s="189"/>
      <c r="P130" s="189"/>
      <c r="Q130" s="189"/>
      <c r="R130" s="189"/>
      <c r="S130" s="189"/>
      <c r="T130" s="189"/>
      <c r="U130" s="189"/>
      <c r="V130" s="189"/>
      <c r="W130" s="189"/>
      <c r="X130" s="189"/>
      <c r="Y130" s="189"/>
      <c r="Z130" s="189"/>
      <c r="AA130" s="189"/>
      <c r="AB130" s="189"/>
      <c r="AC130" s="189"/>
      <c r="AD130" s="189"/>
      <c r="AE130" s="189"/>
      <c r="AF130" s="189"/>
      <c r="AG130" s="189"/>
      <c r="AH130" s="189"/>
      <c r="AI130" s="189"/>
      <c r="AJ130" s="189"/>
      <c r="AK130" s="189"/>
      <c r="AL130" s="189"/>
      <c r="AM130" s="189"/>
      <c r="AN130" s="189"/>
      <c r="AO130" s="189"/>
      <c r="AP130" s="189"/>
      <c r="AQ130" s="189"/>
      <c r="AR130" s="189"/>
      <c r="AS130" s="189"/>
      <c r="AT130" s="189"/>
      <c r="AU130" s="189"/>
      <c r="AV130" s="189"/>
      <c r="AW130" s="189"/>
      <c r="AX130" s="189"/>
      <c r="AY130" s="189"/>
      <c r="AZ130" s="189"/>
      <c r="BA130" s="189"/>
    </row>
    <row r="131" spans="1:53" x14ac:dyDescent="0.25">
      <c r="A131" s="395" t="s">
        <v>484</v>
      </c>
      <c r="B131" s="189"/>
      <c r="C131" s="189"/>
      <c r="D131" s="189"/>
      <c r="E131" s="189"/>
      <c r="F131" s="189"/>
      <c r="G131" s="189"/>
      <c r="H131" s="189"/>
      <c r="I131" s="189"/>
      <c r="J131" s="189"/>
      <c r="K131" s="189"/>
      <c r="L131" s="189"/>
      <c r="M131" s="189"/>
      <c r="N131" s="189"/>
      <c r="O131" s="189"/>
      <c r="P131" s="189"/>
      <c r="Q131" s="189"/>
      <c r="R131" s="189"/>
      <c r="S131" s="189"/>
      <c r="T131" s="189"/>
      <c r="U131" s="189"/>
      <c r="V131" s="189"/>
      <c r="W131" s="189"/>
      <c r="X131" s="189"/>
      <c r="Y131" s="189"/>
      <c r="Z131" s="189"/>
      <c r="AA131" s="189"/>
      <c r="AB131" s="189"/>
      <c r="AC131" s="189"/>
      <c r="AD131" s="189"/>
      <c r="AE131" s="189"/>
      <c r="AF131" s="189"/>
      <c r="AG131" s="189"/>
      <c r="AH131" s="189"/>
      <c r="AI131" s="189"/>
      <c r="AJ131" s="189"/>
      <c r="AK131" s="189"/>
      <c r="AL131" s="189"/>
      <c r="AM131" s="189"/>
      <c r="AN131" s="189"/>
      <c r="AO131" s="189"/>
      <c r="AP131" s="189"/>
      <c r="AQ131" s="189"/>
      <c r="AR131" s="189"/>
      <c r="AS131" s="189"/>
      <c r="AT131" s="189"/>
      <c r="AU131" s="189"/>
      <c r="AV131" s="189"/>
      <c r="AW131" s="189"/>
      <c r="AX131" s="189"/>
      <c r="AY131" s="189"/>
      <c r="AZ131" s="189"/>
      <c r="BA131" s="189"/>
    </row>
    <row r="132" spans="1:53" ht="39.6" x14ac:dyDescent="0.25">
      <c r="A132" s="430">
        <f>D19</f>
        <v>0</v>
      </c>
      <c r="B132" s="426" t="str">
        <f>B115</f>
        <v>500kW, 
£500/acre</v>
      </c>
      <c r="C132" s="426" t="str">
        <f t="shared" ref="C132:K132" si="16">C115</f>
        <v>500kW, 
£1000/acre</v>
      </c>
      <c r="D132" s="426" t="str">
        <f t="shared" si="16"/>
        <v>300kW, 
£500/acre</v>
      </c>
      <c r="E132" s="427" t="str">
        <f t="shared" si="16"/>
        <v>300kW, 
£1000/acre</v>
      </c>
      <c r="F132" s="427" t="str">
        <f t="shared" si="16"/>
        <v>300kW, 
£500/acre (no export)</v>
      </c>
      <c r="G132" s="427" t="str">
        <f t="shared" si="16"/>
        <v>300kW, 
£1000/acre (no export)</v>
      </c>
      <c r="H132" s="427" t="str">
        <f t="shared" si="16"/>
        <v>500kW, 
£500/acre (no grant)</v>
      </c>
      <c r="I132" s="427" t="str">
        <f t="shared" si="16"/>
        <v>Blank site 2</v>
      </c>
      <c r="J132" s="427" t="str">
        <f t="shared" si="16"/>
        <v>Blank site 3</v>
      </c>
      <c r="K132" s="427" t="str">
        <f t="shared" si="16"/>
        <v>Blank site 4</v>
      </c>
      <c r="L132" s="189"/>
      <c r="M132" s="189"/>
      <c r="N132" s="189"/>
      <c r="O132" s="189"/>
      <c r="P132" s="189"/>
      <c r="Q132" s="189"/>
      <c r="R132" s="189"/>
      <c r="S132" s="189"/>
      <c r="T132" s="189"/>
      <c r="U132" s="189"/>
      <c r="V132" s="189"/>
      <c r="W132" s="189"/>
      <c r="X132" s="189"/>
      <c r="Y132" s="189"/>
      <c r="Z132" s="189"/>
      <c r="AA132" s="189"/>
      <c r="AB132" s="189"/>
      <c r="AC132" s="189"/>
      <c r="AD132" s="189"/>
      <c r="AE132" s="189"/>
      <c r="AF132" s="189"/>
      <c r="AG132" s="189"/>
      <c r="AH132" s="189"/>
      <c r="AI132" s="189"/>
      <c r="AJ132" s="189"/>
      <c r="AK132" s="189"/>
      <c r="AL132" s="189"/>
      <c r="AM132" s="189"/>
      <c r="AN132" s="189"/>
      <c r="AO132" s="189"/>
      <c r="AP132" s="189"/>
      <c r="AQ132" s="189"/>
      <c r="AR132" s="189"/>
      <c r="AS132" s="189"/>
      <c r="AT132" s="189"/>
      <c r="AU132" s="189"/>
      <c r="AV132" s="189"/>
      <c r="AW132" s="189"/>
      <c r="AX132" s="189"/>
      <c r="AY132" s="189"/>
      <c r="AZ132" s="189"/>
      <c r="BA132" s="189"/>
    </row>
    <row r="133" spans="1:53" x14ac:dyDescent="0.25">
      <c r="A133" s="428" t="str">
        <f>A116</f>
        <v>9p/kWh, favourable  capex</v>
      </c>
      <c r="B133" s="431">
        <f t="dataTable" ref="B133:K144" dt2D="1" dtr="1" r1="B2" r2="B3" ca="1"/>
        <v>31668.050699999996</v>
      </c>
      <c r="C133" s="431">
        <v>31668.050699999996</v>
      </c>
      <c r="D133" s="431">
        <v>19000.830419999998</v>
      </c>
      <c r="E133" s="431">
        <v>19000.830419999998</v>
      </c>
      <c r="F133" s="431">
        <v>23757.681671999995</v>
      </c>
      <c r="G133" s="431">
        <v>23757.681671999995</v>
      </c>
      <c r="H133" s="431">
        <v>23757.681671999995</v>
      </c>
      <c r="I133" s="431">
        <v>0</v>
      </c>
      <c r="J133" s="431">
        <v>0</v>
      </c>
      <c r="K133" s="431">
        <v>0</v>
      </c>
      <c r="L133" s="189"/>
      <c r="M133" s="189"/>
      <c r="N133" s="189"/>
      <c r="O133" s="189"/>
      <c r="P133" s="189"/>
      <c r="Q133" s="189"/>
      <c r="R133" s="189"/>
      <c r="S133" s="189"/>
      <c r="T133" s="189"/>
      <c r="U133" s="189"/>
      <c r="V133" s="189"/>
      <c r="W133" s="189"/>
      <c r="X133" s="189"/>
      <c r="Y133" s="189"/>
      <c r="Z133" s="189"/>
      <c r="AA133" s="189"/>
      <c r="AB133" s="189"/>
      <c r="AC133" s="189"/>
      <c r="AD133" s="189"/>
      <c r="AE133" s="189"/>
      <c r="AF133" s="189"/>
      <c r="AG133" s="189"/>
      <c r="AH133" s="189"/>
      <c r="AI133" s="189"/>
      <c r="AJ133" s="189"/>
      <c r="AK133" s="189"/>
      <c r="AL133" s="189"/>
      <c r="AM133" s="189"/>
      <c r="AN133" s="189"/>
      <c r="AO133" s="189"/>
      <c r="AP133" s="189"/>
      <c r="AQ133" s="189"/>
      <c r="AR133" s="189"/>
      <c r="AS133" s="189"/>
      <c r="AT133" s="189"/>
      <c r="AU133" s="189"/>
      <c r="AV133" s="189"/>
      <c r="AW133" s="189"/>
      <c r="AX133" s="189"/>
      <c r="AY133" s="189"/>
      <c r="AZ133" s="189"/>
      <c r="BA133" s="189"/>
    </row>
    <row r="134" spans="1:53" x14ac:dyDescent="0.25">
      <c r="A134" s="428" t="str">
        <f t="shared" ref="A134:A144" si="17">A117</f>
        <v>9p/kWh, high capex</v>
      </c>
      <c r="B134" s="431">
        <v>31668.050699999996</v>
      </c>
      <c r="C134" s="431">
        <v>31668.050699999996</v>
      </c>
      <c r="D134" s="431">
        <v>19000.830419999998</v>
      </c>
      <c r="E134" s="431">
        <v>19000.830419999998</v>
      </c>
      <c r="F134" s="431">
        <v>23757.681671999995</v>
      </c>
      <c r="G134" s="431">
        <v>23757.681671999995</v>
      </c>
      <c r="H134" s="431">
        <v>23757.681671999995</v>
      </c>
      <c r="I134" s="431">
        <v>0</v>
      </c>
      <c r="J134" s="431">
        <v>0</v>
      </c>
      <c r="K134" s="431">
        <v>0</v>
      </c>
      <c r="L134" s="189"/>
      <c r="M134" s="189"/>
      <c r="N134" s="189"/>
      <c r="O134" s="189"/>
      <c r="P134" s="189"/>
      <c r="Q134" s="189"/>
      <c r="R134" s="189"/>
      <c r="S134" s="189"/>
      <c r="T134" s="189"/>
      <c r="U134" s="189"/>
      <c r="V134" s="189"/>
      <c r="W134" s="189"/>
      <c r="X134" s="189"/>
      <c r="Y134" s="189"/>
      <c r="Z134" s="189"/>
      <c r="AA134" s="189"/>
      <c r="AB134" s="189"/>
      <c r="AC134" s="189"/>
      <c r="AD134" s="189"/>
      <c r="AE134" s="189"/>
      <c r="AF134" s="189"/>
      <c r="AG134" s="189"/>
      <c r="AH134" s="189"/>
      <c r="AI134" s="189"/>
      <c r="AJ134" s="189"/>
      <c r="AK134" s="189"/>
      <c r="AL134" s="189"/>
      <c r="AM134" s="189"/>
      <c r="AN134" s="189"/>
      <c r="AO134" s="189"/>
      <c r="AP134" s="189"/>
      <c r="AQ134" s="189"/>
      <c r="AR134" s="189"/>
      <c r="AS134" s="189"/>
      <c r="AT134" s="189"/>
      <c r="AU134" s="189"/>
      <c r="AV134" s="189"/>
      <c r="AW134" s="189"/>
      <c r="AX134" s="189"/>
      <c r="AY134" s="189"/>
      <c r="AZ134" s="189"/>
      <c r="BA134" s="189"/>
    </row>
    <row r="135" spans="1:53" x14ac:dyDescent="0.25">
      <c r="A135" s="428" t="str">
        <f t="shared" si="17"/>
        <v>10p/kWh, favourable  capex</v>
      </c>
      <c r="B135" s="431">
        <v>35186.722999999998</v>
      </c>
      <c r="C135" s="431">
        <v>35186.722999999998</v>
      </c>
      <c r="D135" s="431">
        <v>21112.033799999997</v>
      </c>
      <c r="E135" s="431">
        <v>21112.033799999997</v>
      </c>
      <c r="F135" s="431">
        <v>26397.424079999997</v>
      </c>
      <c r="G135" s="431">
        <v>26397.424079999997</v>
      </c>
      <c r="H135" s="431">
        <v>26397.424079999997</v>
      </c>
      <c r="I135" s="431">
        <v>0</v>
      </c>
      <c r="J135" s="431">
        <v>0</v>
      </c>
      <c r="K135" s="431">
        <v>0</v>
      </c>
      <c r="L135" s="189"/>
      <c r="M135" s="189"/>
      <c r="N135" s="189"/>
      <c r="O135" s="189"/>
      <c r="P135" s="189"/>
      <c r="Q135" s="189"/>
      <c r="R135" s="189"/>
      <c r="S135" s="189"/>
      <c r="T135" s="189"/>
      <c r="U135" s="189"/>
      <c r="V135" s="189"/>
      <c r="W135" s="189"/>
      <c r="X135" s="189"/>
      <c r="Y135" s="189"/>
      <c r="Z135" s="189"/>
      <c r="AA135" s="189"/>
      <c r="AB135" s="189"/>
      <c r="AC135" s="189"/>
      <c r="AD135" s="189"/>
      <c r="AE135" s="189"/>
      <c r="AF135" s="189"/>
      <c r="AG135" s="189"/>
      <c r="AH135" s="189"/>
      <c r="AI135" s="189"/>
      <c r="AJ135" s="189"/>
      <c r="AK135" s="189"/>
      <c r="AL135" s="189"/>
      <c r="AM135" s="189"/>
      <c r="AN135" s="189"/>
      <c r="AO135" s="189"/>
      <c r="AP135" s="189"/>
      <c r="AQ135" s="189"/>
      <c r="AR135" s="189"/>
      <c r="AS135" s="189"/>
      <c r="AT135" s="189"/>
      <c r="AU135" s="189"/>
      <c r="AV135" s="189"/>
      <c r="AW135" s="189"/>
      <c r="AX135" s="189"/>
      <c r="AY135" s="189"/>
      <c r="AZ135" s="189"/>
      <c r="BA135" s="189"/>
    </row>
    <row r="136" spans="1:53" x14ac:dyDescent="0.25">
      <c r="A136" s="428" t="str">
        <f t="shared" si="17"/>
        <v>10p/kWh, high capex</v>
      </c>
      <c r="B136" s="431">
        <v>35186.722999999998</v>
      </c>
      <c r="C136" s="431">
        <v>35186.722999999998</v>
      </c>
      <c r="D136" s="431">
        <v>21112.033799999997</v>
      </c>
      <c r="E136" s="431">
        <v>21112.033799999997</v>
      </c>
      <c r="F136" s="431">
        <v>26397.424079999997</v>
      </c>
      <c r="G136" s="431">
        <v>26397.424079999997</v>
      </c>
      <c r="H136" s="431">
        <v>26397.424079999997</v>
      </c>
      <c r="I136" s="431">
        <v>0</v>
      </c>
      <c r="J136" s="431">
        <v>0</v>
      </c>
      <c r="K136" s="431">
        <v>0</v>
      </c>
      <c r="L136" s="189"/>
      <c r="M136" s="189"/>
      <c r="N136" s="189"/>
      <c r="O136" s="189"/>
      <c r="P136" s="189"/>
      <c r="Q136" s="189"/>
      <c r="R136" s="189"/>
      <c r="S136" s="189"/>
      <c r="T136" s="189"/>
      <c r="U136" s="189"/>
      <c r="V136" s="189"/>
      <c r="W136" s="189"/>
      <c r="X136" s="189"/>
      <c r="Y136" s="189"/>
      <c r="Z136" s="189"/>
      <c r="AA136" s="189"/>
      <c r="AB136" s="189"/>
      <c r="AC136" s="189"/>
      <c r="AD136" s="189"/>
      <c r="AE136" s="189"/>
      <c r="AF136" s="189"/>
      <c r="AG136" s="189"/>
      <c r="AH136" s="189"/>
      <c r="AI136" s="189"/>
      <c r="AJ136" s="189"/>
      <c r="AK136" s="189"/>
      <c r="AL136" s="189"/>
      <c r="AM136" s="189"/>
      <c r="AN136" s="189"/>
      <c r="AO136" s="189"/>
      <c r="AP136" s="189"/>
      <c r="AQ136" s="189"/>
      <c r="AR136" s="189"/>
      <c r="AS136" s="189"/>
      <c r="AT136" s="189"/>
      <c r="AU136" s="189"/>
      <c r="AV136" s="189"/>
      <c r="AW136" s="189"/>
      <c r="AX136" s="189"/>
      <c r="AY136" s="189"/>
      <c r="AZ136" s="189"/>
      <c r="BA136" s="189"/>
    </row>
    <row r="137" spans="1:53" x14ac:dyDescent="0.25">
      <c r="A137" s="428" t="str">
        <f t="shared" si="17"/>
        <v>12p/kWh, favourable  capex</v>
      </c>
      <c r="B137" s="431">
        <v>42224.067599999995</v>
      </c>
      <c r="C137" s="431">
        <v>42224.067599999995</v>
      </c>
      <c r="D137" s="431">
        <v>25334.440559999995</v>
      </c>
      <c r="E137" s="431">
        <v>25334.440559999995</v>
      </c>
      <c r="F137" s="431">
        <v>31676.908895999994</v>
      </c>
      <c r="G137" s="431">
        <v>31676.908895999994</v>
      </c>
      <c r="H137" s="431">
        <v>31676.908895999994</v>
      </c>
      <c r="I137" s="431">
        <v>0</v>
      </c>
      <c r="J137" s="431">
        <v>0</v>
      </c>
      <c r="K137" s="431">
        <v>0</v>
      </c>
      <c r="L137" s="189"/>
      <c r="M137" s="189"/>
      <c r="N137" s="189"/>
      <c r="O137" s="189"/>
      <c r="P137" s="189"/>
      <c r="Q137" s="189"/>
      <c r="R137" s="189"/>
      <c r="S137" s="189"/>
      <c r="T137" s="189"/>
      <c r="U137" s="189"/>
      <c r="V137" s="189"/>
      <c r="W137" s="189"/>
      <c r="X137" s="189"/>
      <c r="Y137" s="189"/>
      <c r="Z137" s="189"/>
      <c r="AA137" s="189"/>
      <c r="AB137" s="189"/>
      <c r="AC137" s="189"/>
      <c r="AD137" s="189"/>
      <c r="AE137" s="189"/>
      <c r="AF137" s="189"/>
      <c r="AG137" s="189"/>
      <c r="AH137" s="189"/>
      <c r="AI137" s="189"/>
      <c r="AJ137" s="189"/>
      <c r="AK137" s="189"/>
      <c r="AL137" s="189"/>
      <c r="AM137" s="189"/>
      <c r="AN137" s="189"/>
      <c r="AO137" s="189"/>
      <c r="AP137" s="189"/>
      <c r="AQ137" s="189"/>
      <c r="AR137" s="189"/>
      <c r="AS137" s="189"/>
      <c r="AT137" s="189"/>
      <c r="AU137" s="189"/>
      <c r="AV137" s="189"/>
      <c r="AW137" s="189"/>
      <c r="AX137" s="189"/>
      <c r="AY137" s="189"/>
      <c r="AZ137" s="189"/>
      <c r="BA137" s="189"/>
    </row>
    <row r="138" spans="1:53" x14ac:dyDescent="0.25">
      <c r="A138" s="428" t="str">
        <f t="shared" si="17"/>
        <v>12p/kWh, high capex</v>
      </c>
      <c r="B138" s="431">
        <v>42224.067599999995</v>
      </c>
      <c r="C138" s="431">
        <v>42224.067599999995</v>
      </c>
      <c r="D138" s="431">
        <v>25334.440559999995</v>
      </c>
      <c r="E138" s="431">
        <v>25334.440559999995</v>
      </c>
      <c r="F138" s="431">
        <v>31676.908895999994</v>
      </c>
      <c r="G138" s="431">
        <v>31676.908895999994</v>
      </c>
      <c r="H138" s="431">
        <v>31676.908895999994</v>
      </c>
      <c r="I138" s="431">
        <v>0</v>
      </c>
      <c r="J138" s="431">
        <v>0</v>
      </c>
      <c r="K138" s="431">
        <v>0</v>
      </c>
      <c r="L138" s="189"/>
      <c r="M138" s="189"/>
      <c r="N138" s="189"/>
      <c r="O138" s="189"/>
      <c r="P138" s="189"/>
      <c r="Q138" s="189"/>
      <c r="R138" s="189"/>
      <c r="S138" s="189"/>
      <c r="T138" s="189"/>
      <c r="U138" s="189"/>
      <c r="V138" s="189"/>
      <c r="W138" s="189"/>
      <c r="X138" s="189"/>
      <c r="Y138" s="189"/>
      <c r="Z138" s="189"/>
      <c r="AA138" s="189"/>
      <c r="AB138" s="189"/>
      <c r="AC138" s="189"/>
      <c r="AD138" s="189"/>
      <c r="AE138" s="189"/>
      <c r="AF138" s="189"/>
      <c r="AG138" s="189"/>
      <c r="AH138" s="189"/>
      <c r="AI138" s="189"/>
      <c r="AJ138" s="189"/>
      <c r="AK138" s="189"/>
      <c r="AL138" s="189"/>
      <c r="AM138" s="189"/>
      <c r="AN138" s="189"/>
      <c r="AO138" s="189"/>
      <c r="AP138" s="189"/>
      <c r="AQ138" s="189"/>
      <c r="AR138" s="189"/>
      <c r="AS138" s="189"/>
      <c r="AT138" s="189"/>
      <c r="AU138" s="189"/>
      <c r="AV138" s="189"/>
      <c r="AW138" s="189"/>
      <c r="AX138" s="189"/>
      <c r="AY138" s="189"/>
      <c r="AZ138" s="189"/>
      <c r="BA138" s="189"/>
    </row>
    <row r="139" spans="1:53" x14ac:dyDescent="0.25">
      <c r="A139" s="428" t="str">
        <f t="shared" si="17"/>
        <v>9p/kWh, mid capex, high grid</v>
      </c>
      <c r="B139" s="431">
        <v>31668.050699999996</v>
      </c>
      <c r="C139" s="431">
        <v>31668.050699999996</v>
      </c>
      <c r="D139" s="431">
        <v>19000.830419999998</v>
      </c>
      <c r="E139" s="431">
        <v>19000.830419999998</v>
      </c>
      <c r="F139" s="431">
        <v>23757.681671999995</v>
      </c>
      <c r="G139" s="431">
        <v>23757.681671999995</v>
      </c>
      <c r="H139" s="431">
        <v>23757.681671999995</v>
      </c>
      <c r="I139" s="431">
        <v>0</v>
      </c>
      <c r="J139" s="431">
        <v>0</v>
      </c>
      <c r="K139" s="431">
        <v>0</v>
      </c>
      <c r="L139" s="189"/>
      <c r="M139" s="189"/>
      <c r="N139" s="189"/>
      <c r="O139" s="189"/>
      <c r="P139" s="189"/>
      <c r="Q139" s="189"/>
      <c r="R139" s="189"/>
      <c r="S139" s="189"/>
      <c r="T139" s="189"/>
      <c r="U139" s="189"/>
      <c r="V139" s="189"/>
      <c r="W139" s="189"/>
      <c r="X139" s="189"/>
      <c r="Y139" s="189"/>
      <c r="Z139" s="189"/>
      <c r="AA139" s="189"/>
      <c r="AB139" s="189"/>
      <c r="AC139" s="189"/>
      <c r="AD139" s="189"/>
      <c r="AE139" s="189"/>
      <c r="AF139" s="189"/>
      <c r="AG139" s="189"/>
      <c r="AH139" s="189"/>
      <c r="AI139" s="189"/>
      <c r="AJ139" s="189"/>
      <c r="AK139" s="189"/>
      <c r="AL139" s="189"/>
      <c r="AM139" s="189"/>
      <c r="AN139" s="189"/>
      <c r="AO139" s="189"/>
      <c r="AP139" s="189"/>
      <c r="AQ139" s="189"/>
      <c r="AR139" s="189"/>
      <c r="AS139" s="189"/>
      <c r="AT139" s="189"/>
      <c r="AU139" s="189"/>
      <c r="AV139" s="189"/>
      <c r="AW139" s="189"/>
      <c r="AX139" s="189"/>
      <c r="AY139" s="189"/>
      <c r="AZ139" s="189"/>
      <c r="BA139" s="189"/>
    </row>
    <row r="140" spans="1:53" x14ac:dyDescent="0.25">
      <c r="A140" s="428" t="str">
        <f t="shared" si="17"/>
        <v>9p/kWh, high capex, high grid</v>
      </c>
      <c r="B140" s="431">
        <v>31668.050699999996</v>
      </c>
      <c r="C140" s="431">
        <v>31668.050699999996</v>
      </c>
      <c r="D140" s="431">
        <v>19000.830419999998</v>
      </c>
      <c r="E140" s="431">
        <v>19000.830419999998</v>
      </c>
      <c r="F140" s="431">
        <v>23757.681671999995</v>
      </c>
      <c r="G140" s="431">
        <v>23757.681671999995</v>
      </c>
      <c r="H140" s="431">
        <v>23757.681671999995</v>
      </c>
      <c r="I140" s="431">
        <v>0</v>
      </c>
      <c r="J140" s="431">
        <v>0</v>
      </c>
      <c r="K140" s="431">
        <v>0</v>
      </c>
      <c r="L140" s="189"/>
      <c r="M140" s="189"/>
      <c r="N140" s="189"/>
      <c r="O140" s="189"/>
      <c r="P140" s="189"/>
      <c r="Q140" s="189"/>
      <c r="R140" s="189"/>
      <c r="S140" s="189"/>
      <c r="T140" s="189"/>
      <c r="U140" s="189"/>
      <c r="V140" s="189"/>
      <c r="W140" s="189"/>
      <c r="X140" s="189"/>
      <c r="Y140" s="189"/>
      <c r="Z140" s="189"/>
      <c r="AA140" s="189"/>
      <c r="AB140" s="189"/>
      <c r="AC140" s="189"/>
      <c r="AD140" s="189"/>
      <c r="AE140" s="189"/>
      <c r="AF140" s="189"/>
      <c r="AG140" s="189"/>
      <c r="AH140" s="189"/>
      <c r="AI140" s="189"/>
      <c r="AJ140" s="189"/>
      <c r="AK140" s="189"/>
      <c r="AL140" s="189"/>
      <c r="AM140" s="189"/>
      <c r="AN140" s="189"/>
      <c r="AO140" s="189"/>
      <c r="AP140" s="189"/>
      <c r="AQ140" s="189"/>
      <c r="AR140" s="189"/>
      <c r="AS140" s="189"/>
      <c r="AT140" s="189"/>
      <c r="AU140" s="189"/>
      <c r="AV140" s="189"/>
      <c r="AW140" s="189"/>
      <c r="AX140" s="189"/>
      <c r="AY140" s="189"/>
      <c r="AZ140" s="189"/>
      <c r="BA140" s="189"/>
    </row>
    <row r="141" spans="1:53" x14ac:dyDescent="0.25">
      <c r="A141" s="428" t="str">
        <f t="shared" si="17"/>
        <v>10p/kWh, mid capex, high grid</v>
      </c>
      <c r="B141" s="431">
        <v>35186.722999999998</v>
      </c>
      <c r="C141" s="431">
        <v>35186.722999999998</v>
      </c>
      <c r="D141" s="431">
        <v>21112.033799999997</v>
      </c>
      <c r="E141" s="431">
        <v>21112.033799999997</v>
      </c>
      <c r="F141" s="431">
        <v>26397.424079999997</v>
      </c>
      <c r="G141" s="431">
        <v>26397.424079999997</v>
      </c>
      <c r="H141" s="431">
        <v>26397.424079999997</v>
      </c>
      <c r="I141" s="431">
        <v>0</v>
      </c>
      <c r="J141" s="431">
        <v>0</v>
      </c>
      <c r="K141" s="431">
        <v>0</v>
      </c>
      <c r="L141" s="189"/>
      <c r="M141" s="189"/>
      <c r="N141" s="189"/>
      <c r="O141" s="189"/>
      <c r="P141" s="189"/>
      <c r="Q141" s="189"/>
      <c r="R141" s="189"/>
      <c r="S141" s="189"/>
      <c r="T141" s="189"/>
      <c r="U141" s="189"/>
      <c r="V141" s="189"/>
      <c r="W141" s="189"/>
      <c r="X141" s="189"/>
      <c r="Y141" s="189"/>
      <c r="Z141" s="189"/>
      <c r="AA141" s="189"/>
      <c r="AB141" s="189"/>
      <c r="AC141" s="189"/>
      <c r="AD141" s="189"/>
      <c r="AE141" s="189"/>
      <c r="AF141" s="189"/>
      <c r="AG141" s="189"/>
      <c r="AH141" s="189"/>
      <c r="AI141" s="189"/>
      <c r="AJ141" s="189"/>
      <c r="AK141" s="189"/>
      <c r="AL141" s="189"/>
      <c r="AM141" s="189"/>
      <c r="AN141" s="189"/>
      <c r="AO141" s="189"/>
      <c r="AP141" s="189"/>
      <c r="AQ141" s="189"/>
      <c r="AR141" s="189"/>
      <c r="AS141" s="189"/>
      <c r="AT141" s="189"/>
      <c r="AU141" s="189"/>
      <c r="AV141" s="189"/>
      <c r="AW141" s="189"/>
      <c r="AX141" s="189"/>
      <c r="AY141" s="189"/>
      <c r="AZ141" s="189"/>
      <c r="BA141" s="189"/>
    </row>
    <row r="142" spans="1:53" x14ac:dyDescent="0.25">
      <c r="A142" s="428" t="str">
        <f t="shared" si="17"/>
        <v>10p/kWh, high capex, high grid</v>
      </c>
      <c r="B142" s="431">
        <v>35186.722999999998</v>
      </c>
      <c r="C142" s="431">
        <v>35186.722999999998</v>
      </c>
      <c r="D142" s="431">
        <v>21112.033799999997</v>
      </c>
      <c r="E142" s="431">
        <v>21112.033799999997</v>
      </c>
      <c r="F142" s="431">
        <v>26397.424079999997</v>
      </c>
      <c r="G142" s="431">
        <v>26397.424079999997</v>
      </c>
      <c r="H142" s="431">
        <v>26397.424079999997</v>
      </c>
      <c r="I142" s="431">
        <v>0</v>
      </c>
      <c r="J142" s="431">
        <v>0</v>
      </c>
      <c r="K142" s="431">
        <v>0</v>
      </c>
      <c r="L142" s="189"/>
      <c r="M142" s="189"/>
      <c r="N142" s="189"/>
      <c r="O142" s="189"/>
      <c r="P142" s="189"/>
      <c r="Q142" s="189"/>
      <c r="R142" s="189"/>
      <c r="S142" s="189"/>
      <c r="T142" s="189"/>
      <c r="U142" s="189"/>
      <c r="V142" s="189"/>
      <c r="W142" s="189"/>
      <c r="X142" s="189"/>
      <c r="Y142" s="189"/>
      <c r="Z142" s="189"/>
      <c r="AA142" s="189"/>
      <c r="AB142" s="189"/>
      <c r="AC142" s="189"/>
      <c r="AD142" s="189"/>
      <c r="AE142" s="189"/>
      <c r="AF142" s="189"/>
      <c r="AG142" s="189"/>
      <c r="AH142" s="189"/>
      <c r="AI142" s="189"/>
      <c r="AJ142" s="189"/>
      <c r="AK142" s="189"/>
      <c r="AL142" s="189"/>
      <c r="AM142" s="189"/>
      <c r="AN142" s="189"/>
      <c r="AO142" s="189"/>
      <c r="AP142" s="189"/>
      <c r="AQ142" s="189"/>
      <c r="AR142" s="189"/>
      <c r="AS142" s="189"/>
      <c r="AT142" s="189"/>
      <c r="AU142" s="189"/>
      <c r="AV142" s="189"/>
      <c r="AW142" s="189"/>
      <c r="AX142" s="189"/>
      <c r="AY142" s="189"/>
      <c r="AZ142" s="189"/>
      <c r="BA142" s="189"/>
    </row>
    <row r="143" spans="1:53" x14ac:dyDescent="0.25">
      <c r="A143" s="428" t="str">
        <f t="shared" si="17"/>
        <v>12p/kWh, mid capex, high grid</v>
      </c>
      <c r="B143" s="431">
        <v>42224.067599999995</v>
      </c>
      <c r="C143" s="431">
        <v>42224.067599999995</v>
      </c>
      <c r="D143" s="431">
        <v>25334.440559999995</v>
      </c>
      <c r="E143" s="431">
        <v>25334.440559999995</v>
      </c>
      <c r="F143" s="431">
        <v>31676.908895999994</v>
      </c>
      <c r="G143" s="431">
        <v>31676.908895999994</v>
      </c>
      <c r="H143" s="431">
        <v>31676.908895999994</v>
      </c>
      <c r="I143" s="431">
        <v>0</v>
      </c>
      <c r="J143" s="431">
        <v>0</v>
      </c>
      <c r="K143" s="431">
        <v>0</v>
      </c>
      <c r="L143" s="189"/>
      <c r="M143" s="189"/>
      <c r="N143" s="189"/>
      <c r="O143" s="189"/>
      <c r="P143" s="189"/>
      <c r="Q143" s="189"/>
      <c r="R143" s="189"/>
      <c r="S143" s="189"/>
      <c r="T143" s="189"/>
      <c r="U143" s="189"/>
      <c r="V143" s="189"/>
      <c r="W143" s="189"/>
      <c r="X143" s="189"/>
      <c r="Y143" s="189"/>
      <c r="Z143" s="189"/>
      <c r="AA143" s="189"/>
      <c r="AB143" s="189"/>
      <c r="AC143" s="189"/>
      <c r="AD143" s="189"/>
      <c r="AE143" s="189"/>
      <c r="AF143" s="189"/>
      <c r="AG143" s="189"/>
      <c r="AH143" s="189"/>
      <c r="AI143" s="189"/>
      <c r="AJ143" s="189"/>
      <c r="AK143" s="189"/>
      <c r="AL143" s="189"/>
      <c r="AM143" s="189"/>
      <c r="AN143" s="189"/>
      <c r="AO143" s="189"/>
      <c r="AP143" s="189"/>
      <c r="AQ143" s="189"/>
      <c r="AR143" s="189"/>
      <c r="AS143" s="189"/>
      <c r="AT143" s="189"/>
      <c r="AU143" s="189"/>
      <c r="AV143" s="189"/>
      <c r="AW143" s="189"/>
      <c r="AX143" s="189"/>
      <c r="AY143" s="189"/>
      <c r="AZ143" s="189"/>
      <c r="BA143" s="189"/>
    </row>
    <row r="144" spans="1:53" x14ac:dyDescent="0.25">
      <c r="A144" s="428" t="str">
        <f t="shared" si="17"/>
        <v>12p/kWh, high capex, high grid</v>
      </c>
      <c r="B144" s="431">
        <v>42224.067599999995</v>
      </c>
      <c r="C144" s="431">
        <v>42224.067599999995</v>
      </c>
      <c r="D144" s="431">
        <v>25334.440559999995</v>
      </c>
      <c r="E144" s="431">
        <v>25334.440559999995</v>
      </c>
      <c r="F144" s="431">
        <v>31676.908895999994</v>
      </c>
      <c r="G144" s="431">
        <v>31676.908895999994</v>
      </c>
      <c r="H144" s="431">
        <v>31676.908895999994</v>
      </c>
      <c r="I144" s="431">
        <v>0</v>
      </c>
      <c r="J144" s="431">
        <v>0</v>
      </c>
      <c r="K144" s="431">
        <v>0</v>
      </c>
      <c r="L144" s="189"/>
      <c r="M144" s="189"/>
      <c r="N144" s="189"/>
      <c r="O144" s="189"/>
      <c r="P144" s="189"/>
      <c r="Q144" s="189"/>
      <c r="R144" s="189"/>
      <c r="S144" s="189"/>
      <c r="T144" s="189"/>
      <c r="U144" s="189"/>
      <c r="V144" s="189"/>
      <c r="W144" s="189"/>
      <c r="X144" s="189"/>
      <c r="Y144" s="189"/>
      <c r="Z144" s="189"/>
      <c r="AA144" s="189"/>
      <c r="AB144" s="189"/>
      <c r="AC144" s="189"/>
      <c r="AD144" s="189"/>
      <c r="AE144" s="189"/>
      <c r="AF144" s="189"/>
      <c r="AG144" s="189"/>
      <c r="AH144" s="189"/>
      <c r="AI144" s="189"/>
      <c r="AJ144" s="189"/>
      <c r="AK144" s="189"/>
      <c r="AL144" s="189"/>
      <c r="AM144" s="189"/>
      <c r="AN144" s="189"/>
      <c r="AO144" s="189"/>
      <c r="AP144" s="189"/>
      <c r="AQ144" s="189"/>
      <c r="AR144" s="189"/>
      <c r="AS144" s="189"/>
      <c r="AT144" s="189"/>
      <c r="AU144" s="189"/>
      <c r="AV144" s="189"/>
      <c r="AW144" s="189"/>
      <c r="AX144" s="189"/>
      <c r="AY144" s="189"/>
      <c r="AZ144" s="189"/>
      <c r="BA144" s="189"/>
    </row>
    <row r="145" spans="1:53" x14ac:dyDescent="0.25">
      <c r="A145" s="189"/>
      <c r="B145" s="189"/>
      <c r="C145" s="189"/>
      <c r="D145" s="189"/>
      <c r="E145" s="189"/>
      <c r="F145" s="189"/>
      <c r="G145" s="189"/>
      <c r="H145" s="189"/>
      <c r="I145" s="189"/>
      <c r="J145" s="189"/>
      <c r="K145" s="189"/>
      <c r="L145" s="189"/>
      <c r="M145" s="189"/>
      <c r="N145" s="189"/>
      <c r="O145" s="189"/>
      <c r="P145" s="189"/>
      <c r="Q145" s="189"/>
      <c r="R145" s="189"/>
      <c r="S145" s="189"/>
      <c r="T145" s="189"/>
      <c r="U145" s="189"/>
      <c r="V145" s="189"/>
      <c r="W145" s="189"/>
      <c r="X145" s="189"/>
      <c r="Y145" s="189"/>
      <c r="Z145" s="189"/>
      <c r="AA145" s="189"/>
      <c r="AB145" s="189"/>
      <c r="AC145" s="189"/>
      <c r="AD145" s="189"/>
      <c r="AE145" s="189"/>
      <c r="AF145" s="189"/>
      <c r="AG145" s="189"/>
      <c r="AH145" s="189"/>
      <c r="AI145" s="189"/>
      <c r="AJ145" s="189"/>
      <c r="AK145" s="189"/>
      <c r="AL145" s="189"/>
      <c r="AM145" s="189"/>
      <c r="AN145" s="189"/>
      <c r="AO145" s="189"/>
      <c r="AP145" s="189"/>
      <c r="AQ145" s="189"/>
      <c r="AR145" s="189"/>
      <c r="AS145" s="189"/>
      <c r="AT145" s="189"/>
      <c r="AU145" s="189"/>
      <c r="AV145" s="189"/>
      <c r="AW145" s="189"/>
      <c r="AX145" s="189"/>
      <c r="AY145" s="189"/>
      <c r="AZ145" s="189"/>
      <c r="BA145" s="189"/>
    </row>
    <row r="146" spans="1:53" x14ac:dyDescent="0.25">
      <c r="A146" s="395" t="s">
        <v>433</v>
      </c>
      <c r="B146" s="189"/>
      <c r="C146" s="189"/>
      <c r="D146" s="189"/>
      <c r="E146" s="189"/>
      <c r="F146" s="189"/>
      <c r="G146" s="189"/>
      <c r="H146" s="189"/>
      <c r="I146" s="189"/>
      <c r="J146" s="189"/>
      <c r="K146" s="189"/>
      <c r="L146" s="189"/>
      <c r="M146" s="189"/>
      <c r="N146" s="189"/>
      <c r="O146" s="189"/>
      <c r="P146" s="189"/>
      <c r="Q146" s="189"/>
      <c r="R146" s="189"/>
      <c r="S146" s="189"/>
      <c r="T146" s="189"/>
      <c r="U146" s="189"/>
      <c r="V146" s="189"/>
      <c r="W146" s="189"/>
      <c r="X146" s="189"/>
      <c r="Y146" s="189"/>
      <c r="Z146" s="189"/>
      <c r="AA146" s="189"/>
      <c r="AB146" s="189"/>
      <c r="AC146" s="189"/>
      <c r="AD146" s="189"/>
      <c r="AE146" s="189"/>
      <c r="AF146" s="189"/>
      <c r="AG146" s="189"/>
      <c r="AH146" s="189"/>
      <c r="AI146" s="189"/>
      <c r="AJ146" s="189"/>
      <c r="AK146" s="189"/>
      <c r="AL146" s="189"/>
      <c r="AM146" s="189"/>
      <c r="AN146" s="189"/>
      <c r="AO146" s="189"/>
      <c r="AP146" s="189"/>
      <c r="AQ146" s="189"/>
      <c r="AR146" s="189"/>
      <c r="AS146" s="189"/>
      <c r="AT146" s="189"/>
      <c r="AU146" s="189"/>
      <c r="AV146" s="189"/>
      <c r="AW146" s="189"/>
      <c r="AX146" s="189"/>
      <c r="AY146" s="189"/>
      <c r="AZ146" s="189"/>
      <c r="BA146" s="189"/>
    </row>
    <row r="147" spans="1:53" ht="39.6" x14ac:dyDescent="0.25">
      <c r="A147" s="435">
        <f>'Energy generation (by site)'!C28</f>
        <v>0</v>
      </c>
      <c r="B147" s="426" t="str">
        <f>B132</f>
        <v>500kW, 
£500/acre</v>
      </c>
      <c r="C147" s="426" t="str">
        <f t="shared" ref="C147:K147" si="18">C132</f>
        <v>500kW, 
£1000/acre</v>
      </c>
      <c r="D147" s="426" t="str">
        <f t="shared" si="18"/>
        <v>300kW, 
£500/acre</v>
      </c>
      <c r="E147" s="427" t="str">
        <f t="shared" si="18"/>
        <v>300kW, 
£1000/acre</v>
      </c>
      <c r="F147" s="427" t="str">
        <f t="shared" si="18"/>
        <v>300kW, 
£500/acre (no export)</v>
      </c>
      <c r="G147" s="427" t="str">
        <f t="shared" si="18"/>
        <v>300kW, 
£1000/acre (no export)</v>
      </c>
      <c r="H147" s="427" t="str">
        <f t="shared" si="18"/>
        <v>500kW, 
£500/acre (no grant)</v>
      </c>
      <c r="I147" s="427" t="str">
        <f t="shared" si="18"/>
        <v>Blank site 2</v>
      </c>
      <c r="J147" s="427" t="str">
        <f t="shared" si="18"/>
        <v>Blank site 3</v>
      </c>
      <c r="K147" s="427" t="str">
        <f t="shared" si="18"/>
        <v>Blank site 4</v>
      </c>
      <c r="L147" s="189"/>
      <c r="M147" s="189"/>
      <c r="N147" s="189"/>
      <c r="O147" s="189"/>
      <c r="P147" s="189"/>
      <c r="Q147" s="189"/>
      <c r="R147" s="189"/>
      <c r="S147" s="189"/>
      <c r="T147" s="189"/>
      <c r="U147" s="189"/>
      <c r="V147" s="189"/>
      <c r="W147" s="189"/>
      <c r="X147" s="189"/>
      <c r="Y147" s="189"/>
      <c r="Z147" s="189"/>
      <c r="AA147" s="189"/>
      <c r="AB147" s="189"/>
      <c r="AC147" s="189"/>
      <c r="AD147" s="189"/>
      <c r="AE147" s="189"/>
      <c r="AF147" s="189"/>
      <c r="AG147" s="189"/>
      <c r="AH147" s="189"/>
      <c r="AI147" s="189"/>
      <c r="AJ147" s="189"/>
      <c r="AK147" s="189"/>
      <c r="AL147" s="189"/>
      <c r="AM147" s="189"/>
      <c r="AN147" s="189"/>
      <c r="AO147" s="189"/>
      <c r="AP147" s="189"/>
      <c r="AQ147" s="189"/>
      <c r="AR147" s="189"/>
      <c r="AS147" s="189"/>
      <c r="AT147" s="189"/>
      <c r="AU147" s="189"/>
      <c r="AV147" s="189"/>
      <c r="AW147" s="189"/>
      <c r="AX147" s="189"/>
      <c r="AY147" s="189"/>
      <c r="AZ147" s="189"/>
      <c r="BA147" s="189"/>
    </row>
    <row r="148" spans="1:53" x14ac:dyDescent="0.25">
      <c r="A148" s="428" t="str">
        <f>A133</f>
        <v>9p/kWh, favourable  capex</v>
      </c>
      <c r="B148" s="436">
        <f t="dataTable" ref="B148:K159" dt2D="1" dtr="1" r1="B2" r2="B3" ca="1"/>
        <v>344.63</v>
      </c>
      <c r="C148" s="436">
        <v>344.63</v>
      </c>
      <c r="D148" s="436">
        <v>206.77799999999999</v>
      </c>
      <c r="E148" s="436">
        <v>206.77799999999999</v>
      </c>
      <c r="F148" s="436">
        <v>258.54480000000001</v>
      </c>
      <c r="G148" s="436">
        <v>258.54480000000001</v>
      </c>
      <c r="H148" s="436">
        <v>258.54480000000001</v>
      </c>
      <c r="I148" s="436">
        <v>0</v>
      </c>
      <c r="J148" s="436">
        <v>0</v>
      </c>
      <c r="K148" s="436">
        <v>0</v>
      </c>
      <c r="L148" s="189"/>
      <c r="M148" s="189"/>
      <c r="N148" s="189"/>
      <c r="O148" s="189"/>
      <c r="P148" s="189"/>
      <c r="Q148" s="189"/>
      <c r="R148" s="189"/>
      <c r="S148" s="189"/>
      <c r="T148" s="189"/>
      <c r="U148" s="189"/>
      <c r="V148" s="189"/>
      <c r="W148" s="189"/>
      <c r="X148" s="189"/>
      <c r="Y148" s="189"/>
      <c r="Z148" s="189"/>
      <c r="AA148" s="189"/>
      <c r="AB148" s="189"/>
      <c r="AC148" s="189"/>
      <c r="AD148" s="189"/>
      <c r="AE148" s="189"/>
      <c r="AF148" s="189"/>
      <c r="AG148" s="189"/>
      <c r="AH148" s="189"/>
      <c r="AI148" s="189"/>
      <c r="AJ148" s="189"/>
      <c r="AK148" s="189"/>
      <c r="AL148" s="189"/>
      <c r="AM148" s="189"/>
      <c r="AN148" s="189"/>
      <c r="AO148" s="189"/>
      <c r="AP148" s="189"/>
      <c r="AQ148" s="189"/>
      <c r="AR148" s="189"/>
      <c r="AS148" s="189"/>
      <c r="AT148" s="189"/>
      <c r="AU148" s="189"/>
      <c r="AV148" s="189"/>
      <c r="AW148" s="189"/>
      <c r="AX148" s="189"/>
      <c r="AY148" s="189"/>
      <c r="AZ148" s="189"/>
      <c r="BA148" s="189"/>
    </row>
    <row r="149" spans="1:53" x14ac:dyDescent="0.25">
      <c r="A149" s="428" t="str">
        <f t="shared" ref="A149:A159" si="19">A134</f>
        <v>9p/kWh, high capex</v>
      </c>
      <c r="B149" s="436">
        <v>344.63</v>
      </c>
      <c r="C149" s="436">
        <v>344.63</v>
      </c>
      <c r="D149" s="436">
        <v>206.77799999999999</v>
      </c>
      <c r="E149" s="436">
        <v>206.77799999999999</v>
      </c>
      <c r="F149" s="436">
        <v>258.54480000000001</v>
      </c>
      <c r="G149" s="436">
        <v>258.54480000000001</v>
      </c>
      <c r="H149" s="436">
        <v>258.54480000000001</v>
      </c>
      <c r="I149" s="436">
        <v>0</v>
      </c>
      <c r="J149" s="436">
        <v>0</v>
      </c>
      <c r="K149" s="436">
        <v>0</v>
      </c>
      <c r="L149" s="189"/>
      <c r="M149" s="189"/>
      <c r="N149" s="189"/>
      <c r="O149" s="189"/>
      <c r="P149" s="189"/>
      <c r="Q149" s="189"/>
      <c r="R149" s="189"/>
      <c r="S149" s="189"/>
      <c r="T149" s="189"/>
      <c r="U149" s="189"/>
      <c r="V149" s="189"/>
      <c r="W149" s="189"/>
      <c r="X149" s="189"/>
      <c r="Y149" s="189"/>
      <c r="Z149" s="189"/>
      <c r="AA149" s="189"/>
      <c r="AB149" s="189"/>
      <c r="AC149" s="189"/>
      <c r="AD149" s="189"/>
      <c r="AE149" s="189"/>
      <c r="AF149" s="189"/>
      <c r="AG149" s="189"/>
      <c r="AH149" s="189"/>
      <c r="AI149" s="189"/>
      <c r="AJ149" s="189"/>
      <c r="AK149" s="189"/>
      <c r="AL149" s="189"/>
      <c r="AM149" s="189"/>
      <c r="AN149" s="189"/>
      <c r="AO149" s="189"/>
      <c r="AP149" s="189"/>
      <c r="AQ149" s="189"/>
      <c r="AR149" s="189"/>
      <c r="AS149" s="189"/>
      <c r="AT149" s="189"/>
      <c r="AU149" s="189"/>
      <c r="AV149" s="189"/>
      <c r="AW149" s="189"/>
      <c r="AX149" s="189"/>
      <c r="AY149" s="189"/>
      <c r="AZ149" s="189"/>
      <c r="BA149" s="189"/>
    </row>
    <row r="150" spans="1:53" x14ac:dyDescent="0.25">
      <c r="A150" s="428" t="str">
        <f t="shared" si="19"/>
        <v>10p/kWh, favourable  capex</v>
      </c>
      <c r="B150" s="436">
        <v>344.63</v>
      </c>
      <c r="C150" s="436">
        <v>344.63</v>
      </c>
      <c r="D150" s="436">
        <v>206.77799999999999</v>
      </c>
      <c r="E150" s="436">
        <v>206.77799999999999</v>
      </c>
      <c r="F150" s="436">
        <v>258.54480000000001</v>
      </c>
      <c r="G150" s="436">
        <v>258.54480000000001</v>
      </c>
      <c r="H150" s="436">
        <v>258.54480000000001</v>
      </c>
      <c r="I150" s="436">
        <v>0</v>
      </c>
      <c r="J150" s="436">
        <v>0</v>
      </c>
      <c r="K150" s="436">
        <v>0</v>
      </c>
      <c r="L150" s="189"/>
      <c r="M150" s="189"/>
      <c r="N150" s="189"/>
      <c r="O150" s="189"/>
      <c r="P150" s="189"/>
      <c r="Q150" s="189"/>
      <c r="R150" s="189"/>
      <c r="S150" s="189"/>
      <c r="T150" s="189"/>
      <c r="U150" s="189"/>
      <c r="V150" s="189"/>
      <c r="W150" s="189"/>
      <c r="X150" s="189"/>
      <c r="Y150" s="189"/>
      <c r="Z150" s="189"/>
      <c r="AA150" s="189"/>
      <c r="AB150" s="189"/>
      <c r="AC150" s="189"/>
      <c r="AD150" s="189"/>
      <c r="AE150" s="189"/>
      <c r="AF150" s="189"/>
      <c r="AG150" s="189"/>
      <c r="AH150" s="189"/>
      <c r="AI150" s="189"/>
      <c r="AJ150" s="189"/>
      <c r="AK150" s="189"/>
      <c r="AL150" s="189"/>
      <c r="AM150" s="189"/>
      <c r="AN150" s="189"/>
      <c r="AO150" s="189"/>
      <c r="AP150" s="189"/>
      <c r="AQ150" s="189"/>
      <c r="AR150" s="189"/>
      <c r="AS150" s="189"/>
      <c r="AT150" s="189"/>
      <c r="AU150" s="189"/>
      <c r="AV150" s="189"/>
      <c r="AW150" s="189"/>
      <c r="AX150" s="189"/>
      <c r="AY150" s="189"/>
      <c r="AZ150" s="189"/>
      <c r="BA150" s="189"/>
    </row>
    <row r="151" spans="1:53" x14ac:dyDescent="0.25">
      <c r="A151" s="428" t="str">
        <f t="shared" si="19"/>
        <v>10p/kWh, high capex</v>
      </c>
      <c r="B151" s="436">
        <v>344.63</v>
      </c>
      <c r="C151" s="436">
        <v>344.63</v>
      </c>
      <c r="D151" s="436">
        <v>206.77799999999999</v>
      </c>
      <c r="E151" s="436">
        <v>206.77799999999999</v>
      </c>
      <c r="F151" s="436">
        <v>258.54480000000001</v>
      </c>
      <c r="G151" s="436">
        <v>258.54480000000001</v>
      </c>
      <c r="H151" s="436">
        <v>258.54480000000001</v>
      </c>
      <c r="I151" s="436">
        <v>0</v>
      </c>
      <c r="J151" s="436">
        <v>0</v>
      </c>
      <c r="K151" s="436">
        <v>0</v>
      </c>
      <c r="L151" s="189"/>
      <c r="M151" s="189"/>
      <c r="N151" s="189"/>
      <c r="O151" s="189"/>
      <c r="P151" s="189"/>
      <c r="Q151" s="189"/>
      <c r="R151" s="189"/>
      <c r="S151" s="189"/>
      <c r="T151" s="189"/>
      <c r="U151" s="189"/>
      <c r="V151" s="189"/>
      <c r="W151" s="189"/>
      <c r="X151" s="189"/>
      <c r="Y151" s="189"/>
      <c r="Z151" s="189"/>
      <c r="AA151" s="189"/>
      <c r="AB151" s="189"/>
      <c r="AC151" s="189"/>
      <c r="AD151" s="189"/>
      <c r="AE151" s="189"/>
      <c r="AF151" s="189"/>
      <c r="AG151" s="189"/>
      <c r="AH151" s="189"/>
      <c r="AI151" s="189"/>
      <c r="AJ151" s="189"/>
      <c r="AK151" s="189"/>
      <c r="AL151" s="189"/>
      <c r="AM151" s="189"/>
      <c r="AN151" s="189"/>
      <c r="AO151" s="189"/>
      <c r="AP151" s="189"/>
      <c r="AQ151" s="189"/>
      <c r="AR151" s="189"/>
      <c r="AS151" s="189"/>
      <c r="AT151" s="189"/>
      <c r="AU151" s="189"/>
      <c r="AV151" s="189"/>
      <c r="AW151" s="189"/>
      <c r="AX151" s="189"/>
      <c r="AY151" s="189"/>
      <c r="AZ151" s="189"/>
      <c r="BA151" s="189"/>
    </row>
    <row r="152" spans="1:53" x14ac:dyDescent="0.25">
      <c r="A152" s="428" t="str">
        <f t="shared" si="19"/>
        <v>12p/kWh, favourable  capex</v>
      </c>
      <c r="B152" s="436">
        <v>344.63</v>
      </c>
      <c r="C152" s="436">
        <v>344.63</v>
      </c>
      <c r="D152" s="436">
        <v>206.77799999999999</v>
      </c>
      <c r="E152" s="436">
        <v>206.77799999999999</v>
      </c>
      <c r="F152" s="436">
        <v>258.54480000000001</v>
      </c>
      <c r="G152" s="436">
        <v>258.54480000000001</v>
      </c>
      <c r="H152" s="436">
        <v>258.54480000000001</v>
      </c>
      <c r="I152" s="436">
        <v>0</v>
      </c>
      <c r="J152" s="436">
        <v>0</v>
      </c>
      <c r="K152" s="436">
        <v>0</v>
      </c>
      <c r="L152" s="189"/>
      <c r="M152" s="189"/>
      <c r="N152" s="189"/>
      <c r="O152" s="189"/>
      <c r="P152" s="189"/>
      <c r="Q152" s="189"/>
      <c r="R152" s="189"/>
      <c r="S152" s="189"/>
      <c r="T152" s="189"/>
      <c r="U152" s="189"/>
      <c r="V152" s="189"/>
      <c r="W152" s="189"/>
      <c r="X152" s="189"/>
      <c r="Y152" s="189"/>
      <c r="Z152" s="189"/>
      <c r="AA152" s="189"/>
      <c r="AB152" s="189"/>
      <c r="AC152" s="189"/>
      <c r="AD152" s="189"/>
      <c r="AE152" s="189"/>
      <c r="AF152" s="189"/>
      <c r="AG152" s="189"/>
      <c r="AH152" s="189"/>
      <c r="AI152" s="189"/>
      <c r="AJ152" s="189"/>
      <c r="AK152" s="189"/>
      <c r="AL152" s="189"/>
      <c r="AM152" s="189"/>
      <c r="AN152" s="189"/>
      <c r="AO152" s="189"/>
      <c r="AP152" s="189"/>
      <c r="AQ152" s="189"/>
      <c r="AR152" s="189"/>
      <c r="AS152" s="189"/>
      <c r="AT152" s="189"/>
      <c r="AU152" s="189"/>
      <c r="AV152" s="189"/>
      <c r="AW152" s="189"/>
      <c r="AX152" s="189"/>
      <c r="AY152" s="189"/>
      <c r="AZ152" s="189"/>
      <c r="BA152" s="189"/>
    </row>
    <row r="153" spans="1:53" x14ac:dyDescent="0.25">
      <c r="A153" s="428" t="str">
        <f t="shared" si="19"/>
        <v>12p/kWh, high capex</v>
      </c>
      <c r="B153" s="436">
        <v>344.63</v>
      </c>
      <c r="C153" s="436">
        <v>344.63</v>
      </c>
      <c r="D153" s="436">
        <v>206.77799999999999</v>
      </c>
      <c r="E153" s="436">
        <v>206.77799999999999</v>
      </c>
      <c r="F153" s="436">
        <v>258.54480000000001</v>
      </c>
      <c r="G153" s="436">
        <v>258.54480000000001</v>
      </c>
      <c r="H153" s="436">
        <v>258.54480000000001</v>
      </c>
      <c r="I153" s="436">
        <v>0</v>
      </c>
      <c r="J153" s="436">
        <v>0</v>
      </c>
      <c r="K153" s="436">
        <v>0</v>
      </c>
      <c r="L153" s="189"/>
      <c r="M153" s="189"/>
      <c r="N153" s="189"/>
      <c r="O153" s="189"/>
      <c r="P153" s="189"/>
      <c r="Q153" s="189"/>
      <c r="R153" s="189"/>
      <c r="S153" s="189"/>
      <c r="T153" s="189"/>
      <c r="U153" s="189"/>
      <c r="V153" s="189"/>
      <c r="W153" s="189"/>
      <c r="X153" s="189"/>
      <c r="Y153" s="189"/>
      <c r="Z153" s="189"/>
      <c r="AA153" s="189"/>
      <c r="AB153" s="189"/>
      <c r="AC153" s="189"/>
      <c r="AD153" s="189"/>
      <c r="AE153" s="189"/>
      <c r="AF153" s="189"/>
      <c r="AG153" s="189"/>
      <c r="AH153" s="189"/>
      <c r="AI153" s="189"/>
      <c r="AJ153" s="189"/>
      <c r="AK153" s="189"/>
      <c r="AL153" s="189"/>
      <c r="AM153" s="189"/>
      <c r="AN153" s="189"/>
      <c r="AO153" s="189"/>
      <c r="AP153" s="189"/>
      <c r="AQ153" s="189"/>
      <c r="AR153" s="189"/>
      <c r="AS153" s="189"/>
      <c r="AT153" s="189"/>
      <c r="AU153" s="189"/>
      <c r="AV153" s="189"/>
      <c r="AW153" s="189"/>
      <c r="AX153" s="189"/>
      <c r="AY153" s="189"/>
      <c r="AZ153" s="189"/>
      <c r="BA153" s="189"/>
    </row>
    <row r="154" spans="1:53" x14ac:dyDescent="0.25">
      <c r="A154" s="428" t="str">
        <f t="shared" si="19"/>
        <v>9p/kWh, mid capex, high grid</v>
      </c>
      <c r="B154" s="436">
        <v>344.63</v>
      </c>
      <c r="C154" s="436">
        <v>344.63</v>
      </c>
      <c r="D154" s="436">
        <v>206.77799999999999</v>
      </c>
      <c r="E154" s="436">
        <v>206.77799999999999</v>
      </c>
      <c r="F154" s="436">
        <v>258.54480000000001</v>
      </c>
      <c r="G154" s="436">
        <v>258.54480000000001</v>
      </c>
      <c r="H154" s="436">
        <v>258.54480000000001</v>
      </c>
      <c r="I154" s="436">
        <v>0</v>
      </c>
      <c r="J154" s="436">
        <v>0</v>
      </c>
      <c r="K154" s="436">
        <v>0</v>
      </c>
      <c r="L154" s="189"/>
      <c r="M154" s="189"/>
      <c r="N154" s="189"/>
      <c r="O154" s="189"/>
      <c r="P154" s="189"/>
      <c r="Q154" s="189"/>
      <c r="R154" s="189"/>
      <c r="S154" s="189"/>
      <c r="T154" s="189"/>
      <c r="U154" s="189"/>
      <c r="V154" s="189"/>
      <c r="W154" s="189"/>
      <c r="X154" s="189"/>
      <c r="Y154" s="189"/>
      <c r="Z154" s="189"/>
      <c r="AA154" s="189"/>
      <c r="AB154" s="189"/>
      <c r="AC154" s="189"/>
      <c r="AD154" s="189"/>
      <c r="AE154" s="189"/>
      <c r="AF154" s="189"/>
      <c r="AG154" s="189"/>
      <c r="AH154" s="189"/>
      <c r="AI154" s="189"/>
      <c r="AJ154" s="189"/>
      <c r="AK154" s="189"/>
      <c r="AL154" s="189"/>
      <c r="AM154" s="189"/>
      <c r="AN154" s="189"/>
      <c r="AO154" s="189"/>
      <c r="AP154" s="189"/>
      <c r="AQ154" s="189"/>
      <c r="AR154" s="189"/>
      <c r="AS154" s="189"/>
      <c r="AT154" s="189"/>
      <c r="AU154" s="189"/>
      <c r="AV154" s="189"/>
      <c r="AW154" s="189"/>
      <c r="AX154" s="189"/>
      <c r="AY154" s="189"/>
      <c r="AZ154" s="189"/>
      <c r="BA154" s="189"/>
    </row>
    <row r="155" spans="1:53" x14ac:dyDescent="0.25">
      <c r="A155" s="428" t="str">
        <f t="shared" si="19"/>
        <v>9p/kWh, high capex, high grid</v>
      </c>
      <c r="B155" s="436">
        <v>344.63</v>
      </c>
      <c r="C155" s="436">
        <v>344.63</v>
      </c>
      <c r="D155" s="436">
        <v>206.77799999999999</v>
      </c>
      <c r="E155" s="436">
        <v>206.77799999999999</v>
      </c>
      <c r="F155" s="436">
        <v>258.54480000000001</v>
      </c>
      <c r="G155" s="436">
        <v>258.54480000000001</v>
      </c>
      <c r="H155" s="436">
        <v>258.54480000000001</v>
      </c>
      <c r="I155" s="436">
        <v>0</v>
      </c>
      <c r="J155" s="436">
        <v>0</v>
      </c>
      <c r="K155" s="436">
        <v>0</v>
      </c>
      <c r="L155" s="189"/>
      <c r="M155" s="189"/>
      <c r="N155" s="189"/>
      <c r="O155" s="189"/>
      <c r="P155" s="189"/>
      <c r="Q155" s="189"/>
      <c r="R155" s="189"/>
      <c r="S155" s="189"/>
      <c r="T155" s="189"/>
      <c r="U155" s="189"/>
      <c r="V155" s="189"/>
      <c r="W155" s="189"/>
      <c r="X155" s="189"/>
      <c r="Y155" s="189"/>
      <c r="Z155" s="189"/>
      <c r="AA155" s="189"/>
      <c r="AB155" s="189"/>
      <c r="AC155" s="189"/>
      <c r="AD155" s="189"/>
      <c r="AE155" s="189"/>
      <c r="AF155" s="189"/>
      <c r="AG155" s="189"/>
      <c r="AH155" s="189"/>
      <c r="AI155" s="189"/>
      <c r="AJ155" s="189"/>
      <c r="AK155" s="189"/>
      <c r="AL155" s="189"/>
      <c r="AM155" s="189"/>
      <c r="AN155" s="189"/>
      <c r="AO155" s="189"/>
      <c r="AP155" s="189"/>
      <c r="AQ155" s="189"/>
      <c r="AR155" s="189"/>
      <c r="AS155" s="189"/>
      <c r="AT155" s="189"/>
      <c r="AU155" s="189"/>
      <c r="AV155" s="189"/>
      <c r="AW155" s="189"/>
      <c r="AX155" s="189"/>
      <c r="AY155" s="189"/>
      <c r="AZ155" s="189"/>
      <c r="BA155" s="189"/>
    </row>
    <row r="156" spans="1:53" x14ac:dyDescent="0.25">
      <c r="A156" s="428" t="str">
        <f t="shared" si="19"/>
        <v>10p/kWh, mid capex, high grid</v>
      </c>
      <c r="B156" s="436">
        <v>344.63</v>
      </c>
      <c r="C156" s="436">
        <v>344.63</v>
      </c>
      <c r="D156" s="436">
        <v>206.77799999999999</v>
      </c>
      <c r="E156" s="436">
        <v>206.77799999999999</v>
      </c>
      <c r="F156" s="436">
        <v>258.54480000000001</v>
      </c>
      <c r="G156" s="436">
        <v>258.54480000000001</v>
      </c>
      <c r="H156" s="436">
        <v>258.54480000000001</v>
      </c>
      <c r="I156" s="436">
        <v>0</v>
      </c>
      <c r="J156" s="436">
        <v>0</v>
      </c>
      <c r="K156" s="436">
        <v>0</v>
      </c>
      <c r="L156" s="189"/>
      <c r="M156" s="189"/>
      <c r="N156" s="189"/>
      <c r="O156" s="189"/>
      <c r="P156" s="189"/>
      <c r="Q156" s="189"/>
      <c r="R156" s="189"/>
      <c r="S156" s="189"/>
      <c r="T156" s="189"/>
      <c r="U156" s="189"/>
      <c r="V156" s="189"/>
      <c r="W156" s="189"/>
      <c r="X156" s="189"/>
      <c r="Y156" s="189"/>
      <c r="Z156" s="189"/>
      <c r="AA156" s="189"/>
      <c r="AB156" s="189"/>
      <c r="AC156" s="189"/>
      <c r="AD156" s="189"/>
      <c r="AE156" s="189"/>
      <c r="AF156" s="189"/>
      <c r="AG156" s="189"/>
      <c r="AH156" s="189"/>
      <c r="AI156" s="189"/>
      <c r="AJ156" s="189"/>
      <c r="AK156" s="189"/>
      <c r="AL156" s="189"/>
      <c r="AM156" s="189"/>
      <c r="AN156" s="189"/>
      <c r="AO156" s="189"/>
      <c r="AP156" s="189"/>
      <c r="AQ156" s="189"/>
      <c r="AR156" s="189"/>
      <c r="AS156" s="189"/>
      <c r="AT156" s="189"/>
      <c r="AU156" s="189"/>
      <c r="AV156" s="189"/>
      <c r="AW156" s="189"/>
      <c r="AX156" s="189"/>
      <c r="AY156" s="189"/>
      <c r="AZ156" s="189"/>
      <c r="BA156" s="189"/>
    </row>
    <row r="157" spans="1:53" x14ac:dyDescent="0.25">
      <c r="A157" s="428" t="str">
        <f t="shared" si="19"/>
        <v>10p/kWh, high capex, high grid</v>
      </c>
      <c r="B157" s="436">
        <v>344.63</v>
      </c>
      <c r="C157" s="436">
        <v>344.63</v>
      </c>
      <c r="D157" s="436">
        <v>206.77799999999999</v>
      </c>
      <c r="E157" s="436">
        <v>206.77799999999999</v>
      </c>
      <c r="F157" s="436">
        <v>258.54480000000001</v>
      </c>
      <c r="G157" s="436">
        <v>258.54480000000001</v>
      </c>
      <c r="H157" s="436">
        <v>258.54480000000001</v>
      </c>
      <c r="I157" s="436">
        <v>0</v>
      </c>
      <c r="J157" s="436">
        <v>0</v>
      </c>
      <c r="K157" s="436">
        <v>0</v>
      </c>
      <c r="L157" s="189"/>
      <c r="M157" s="189"/>
      <c r="N157" s="189"/>
      <c r="O157" s="189"/>
      <c r="P157" s="189"/>
      <c r="Q157" s="189"/>
      <c r="R157" s="189"/>
      <c r="S157" s="189"/>
      <c r="T157" s="189"/>
      <c r="U157" s="189"/>
      <c r="V157" s="189"/>
      <c r="W157" s="189"/>
      <c r="X157" s="189"/>
      <c r="Y157" s="189"/>
      <c r="Z157" s="189"/>
      <c r="AA157" s="189"/>
      <c r="AB157" s="189"/>
      <c r="AC157" s="189"/>
      <c r="AD157" s="189"/>
      <c r="AE157" s="189"/>
      <c r="AF157" s="189"/>
      <c r="AG157" s="189"/>
      <c r="AH157" s="189"/>
      <c r="AI157" s="189"/>
      <c r="AJ157" s="189"/>
      <c r="AK157" s="189"/>
      <c r="AL157" s="189"/>
      <c r="AM157" s="189"/>
      <c r="AN157" s="189"/>
      <c r="AO157" s="189"/>
      <c r="AP157" s="189"/>
      <c r="AQ157" s="189"/>
      <c r="AR157" s="189"/>
      <c r="AS157" s="189"/>
      <c r="AT157" s="189"/>
      <c r="AU157" s="189"/>
      <c r="AV157" s="189"/>
      <c r="AW157" s="189"/>
      <c r="AX157" s="189"/>
      <c r="AY157" s="189"/>
      <c r="AZ157" s="189"/>
      <c r="BA157" s="189"/>
    </row>
    <row r="158" spans="1:53" x14ac:dyDescent="0.25">
      <c r="A158" s="428" t="str">
        <f t="shared" si="19"/>
        <v>12p/kWh, mid capex, high grid</v>
      </c>
      <c r="B158" s="436">
        <v>344.63</v>
      </c>
      <c r="C158" s="436">
        <v>344.63</v>
      </c>
      <c r="D158" s="436">
        <v>206.77799999999999</v>
      </c>
      <c r="E158" s="436">
        <v>206.77799999999999</v>
      </c>
      <c r="F158" s="436">
        <v>258.54480000000001</v>
      </c>
      <c r="G158" s="436">
        <v>258.54480000000001</v>
      </c>
      <c r="H158" s="436">
        <v>258.54480000000001</v>
      </c>
      <c r="I158" s="436">
        <v>0</v>
      </c>
      <c r="J158" s="436">
        <v>0</v>
      </c>
      <c r="K158" s="436">
        <v>0</v>
      </c>
      <c r="L158" s="189"/>
      <c r="M158" s="189"/>
      <c r="N158" s="189"/>
      <c r="O158" s="189"/>
      <c r="P158" s="189"/>
      <c r="Q158" s="189"/>
      <c r="R158" s="189"/>
      <c r="S158" s="189"/>
      <c r="T158" s="189"/>
      <c r="U158" s="189"/>
      <c r="V158" s="189"/>
      <c r="W158" s="189"/>
      <c r="X158" s="189"/>
      <c r="Y158" s="189"/>
      <c r="Z158" s="189"/>
      <c r="AA158" s="189"/>
      <c r="AB158" s="189"/>
      <c r="AC158" s="189"/>
      <c r="AD158" s="189"/>
      <c r="AE158" s="189"/>
      <c r="AF158" s="189"/>
      <c r="AG158" s="189"/>
      <c r="AH158" s="189"/>
      <c r="AI158" s="189"/>
      <c r="AJ158" s="189"/>
      <c r="AK158" s="189"/>
      <c r="AL158" s="189"/>
      <c r="AM158" s="189"/>
      <c r="AN158" s="189"/>
      <c r="AO158" s="189"/>
      <c r="AP158" s="189"/>
      <c r="AQ158" s="189"/>
      <c r="AR158" s="189"/>
      <c r="AS158" s="189"/>
      <c r="AT158" s="189"/>
      <c r="AU158" s="189"/>
      <c r="AV158" s="189"/>
      <c r="AW158" s="189"/>
      <c r="AX158" s="189"/>
      <c r="AY158" s="189"/>
      <c r="AZ158" s="189"/>
      <c r="BA158" s="189"/>
    </row>
    <row r="159" spans="1:53" x14ac:dyDescent="0.25">
      <c r="A159" s="428" t="str">
        <f t="shared" si="19"/>
        <v>12p/kWh, high capex, high grid</v>
      </c>
      <c r="B159" s="436">
        <v>344.63</v>
      </c>
      <c r="C159" s="436">
        <v>344.63</v>
      </c>
      <c r="D159" s="436">
        <v>206.77799999999999</v>
      </c>
      <c r="E159" s="436">
        <v>206.77799999999999</v>
      </c>
      <c r="F159" s="436">
        <v>258.54480000000001</v>
      </c>
      <c r="G159" s="436">
        <v>258.54480000000001</v>
      </c>
      <c r="H159" s="436">
        <v>258.54480000000001</v>
      </c>
      <c r="I159" s="436">
        <v>0</v>
      </c>
      <c r="J159" s="436">
        <v>0</v>
      </c>
      <c r="K159" s="436">
        <v>0</v>
      </c>
      <c r="L159" s="189"/>
      <c r="M159" s="189"/>
      <c r="N159" s="189"/>
      <c r="O159" s="189"/>
      <c r="P159" s="189"/>
      <c r="Q159" s="189"/>
      <c r="R159" s="189"/>
      <c r="S159" s="189"/>
      <c r="T159" s="189"/>
      <c r="U159" s="189"/>
      <c r="V159" s="189"/>
      <c r="W159" s="189"/>
      <c r="X159" s="189"/>
      <c r="Y159" s="189"/>
      <c r="Z159" s="189"/>
      <c r="AA159" s="189"/>
      <c r="AB159" s="189"/>
      <c r="AC159" s="189"/>
      <c r="AD159" s="189"/>
      <c r="AE159" s="189"/>
      <c r="AF159" s="189"/>
      <c r="AG159" s="189"/>
      <c r="AH159" s="189"/>
      <c r="AI159" s="189"/>
      <c r="AJ159" s="189"/>
      <c r="AK159" s="189"/>
      <c r="AL159" s="189"/>
      <c r="AM159" s="189"/>
      <c r="AN159" s="189"/>
      <c r="AO159" s="189"/>
      <c r="AP159" s="189"/>
      <c r="AQ159" s="189"/>
      <c r="AR159" s="189"/>
      <c r="AS159" s="189"/>
      <c r="AT159" s="189"/>
      <c r="AU159" s="189"/>
      <c r="AV159" s="189"/>
      <c r="AW159" s="189"/>
      <c r="AX159" s="189"/>
      <c r="AY159" s="189"/>
      <c r="AZ159" s="189"/>
      <c r="BA159" s="189"/>
    </row>
    <row r="160" spans="1:53" x14ac:dyDescent="0.25">
      <c r="A160" s="189"/>
      <c r="B160" s="189"/>
      <c r="C160" s="189"/>
      <c r="D160" s="189"/>
      <c r="E160" s="189"/>
      <c r="F160" s="189"/>
      <c r="G160" s="189"/>
      <c r="H160" s="189"/>
      <c r="I160" s="189"/>
      <c r="J160" s="189"/>
      <c r="K160" s="189"/>
      <c r="L160" s="189"/>
      <c r="M160" s="189"/>
      <c r="N160" s="189"/>
      <c r="O160" s="189"/>
      <c r="P160" s="189"/>
      <c r="Q160" s="189"/>
      <c r="R160" s="189"/>
      <c r="S160" s="189"/>
      <c r="T160" s="189"/>
      <c r="U160" s="189"/>
      <c r="V160" s="189"/>
      <c r="W160" s="189"/>
      <c r="X160" s="189"/>
      <c r="Y160" s="189"/>
      <c r="Z160" s="189"/>
      <c r="AA160" s="189"/>
      <c r="AB160" s="189"/>
      <c r="AC160" s="189"/>
      <c r="AD160" s="189"/>
      <c r="AE160" s="189"/>
      <c r="AF160" s="189"/>
      <c r="AG160" s="189"/>
      <c r="AH160" s="189"/>
      <c r="AI160" s="189"/>
      <c r="AJ160" s="189"/>
      <c r="AK160" s="189"/>
      <c r="AL160" s="189"/>
      <c r="AM160" s="189"/>
      <c r="AN160" s="189"/>
      <c r="AO160" s="189"/>
      <c r="AP160" s="189"/>
      <c r="AQ160" s="189"/>
      <c r="AR160" s="189"/>
      <c r="AS160" s="189"/>
      <c r="AT160" s="189"/>
      <c r="AU160" s="189"/>
      <c r="AV160" s="189"/>
      <c r="AW160" s="189"/>
      <c r="AX160" s="189"/>
      <c r="AY160" s="189"/>
      <c r="AZ160" s="189"/>
      <c r="BA160" s="189"/>
    </row>
    <row r="161" spans="1:53" x14ac:dyDescent="0.25">
      <c r="A161" s="395" t="s">
        <v>472</v>
      </c>
      <c r="B161" s="189"/>
      <c r="C161" s="189"/>
      <c r="D161" s="189"/>
      <c r="E161" s="189"/>
      <c r="F161" s="189"/>
      <c r="G161" s="189"/>
      <c r="H161" s="189"/>
      <c r="I161" s="189"/>
      <c r="J161" s="189"/>
      <c r="K161" s="189"/>
      <c r="L161" s="189"/>
      <c r="M161" s="189"/>
      <c r="N161" s="189"/>
      <c r="O161" s="189"/>
      <c r="P161" s="189"/>
      <c r="Q161" s="189"/>
      <c r="R161" s="189"/>
      <c r="S161" s="189"/>
      <c r="T161" s="189"/>
      <c r="U161" s="189"/>
      <c r="V161" s="189"/>
      <c r="W161" s="189"/>
      <c r="X161" s="189"/>
      <c r="Y161" s="189"/>
      <c r="Z161" s="189"/>
      <c r="AA161" s="189"/>
      <c r="AB161" s="189"/>
      <c r="AC161" s="189"/>
      <c r="AD161" s="189"/>
      <c r="AE161" s="189"/>
      <c r="AF161" s="189"/>
      <c r="AG161" s="189"/>
      <c r="AH161" s="189"/>
      <c r="AI161" s="189"/>
      <c r="AJ161" s="189"/>
      <c r="AK161" s="189"/>
      <c r="AL161" s="189"/>
      <c r="AM161" s="189"/>
      <c r="AN161" s="189"/>
      <c r="AO161" s="189"/>
      <c r="AP161" s="189"/>
      <c r="AQ161" s="189"/>
      <c r="AR161" s="189"/>
      <c r="AS161" s="189"/>
      <c r="AT161" s="189"/>
      <c r="AU161" s="189"/>
      <c r="AV161" s="189"/>
      <c r="AW161" s="189"/>
      <c r="AX161" s="189"/>
      <c r="AY161" s="189"/>
      <c r="AZ161" s="189"/>
      <c r="BA161" s="189"/>
    </row>
    <row r="162" spans="1:53" ht="39.6" x14ac:dyDescent="0.25">
      <c r="A162" s="435">
        <f>-D25</f>
        <v>0</v>
      </c>
      <c r="B162" s="426" t="str">
        <f>B147</f>
        <v>500kW, 
£500/acre</v>
      </c>
      <c r="C162" s="426" t="str">
        <f t="shared" ref="C162:K162" si="20">C147</f>
        <v>500kW, 
£1000/acre</v>
      </c>
      <c r="D162" s="426" t="str">
        <f t="shared" si="20"/>
        <v>300kW, 
£500/acre</v>
      </c>
      <c r="E162" s="427" t="str">
        <f t="shared" si="20"/>
        <v>300kW, 
£1000/acre</v>
      </c>
      <c r="F162" s="427" t="str">
        <f t="shared" si="20"/>
        <v>300kW, 
£500/acre (no export)</v>
      </c>
      <c r="G162" s="427" t="str">
        <f t="shared" si="20"/>
        <v>300kW, 
£1000/acre (no export)</v>
      </c>
      <c r="H162" s="427" t="str">
        <f t="shared" si="20"/>
        <v>500kW, 
£500/acre (no grant)</v>
      </c>
      <c r="I162" s="427" t="str">
        <f t="shared" si="20"/>
        <v>Blank site 2</v>
      </c>
      <c r="J162" s="427" t="str">
        <f t="shared" si="20"/>
        <v>Blank site 3</v>
      </c>
      <c r="K162" s="427" t="str">
        <f t="shared" si="20"/>
        <v>Blank site 4</v>
      </c>
      <c r="L162" s="189"/>
      <c r="M162" s="189"/>
      <c r="N162" s="189"/>
      <c r="O162" s="189"/>
      <c r="P162" s="189"/>
      <c r="Q162" s="189"/>
      <c r="R162" s="189"/>
      <c r="S162" s="189"/>
      <c r="T162" s="189"/>
      <c r="U162" s="189"/>
      <c r="V162" s="189"/>
      <c r="W162" s="189"/>
      <c r="X162" s="189"/>
      <c r="Y162" s="189"/>
      <c r="Z162" s="189"/>
      <c r="AA162" s="189"/>
      <c r="AB162" s="189"/>
      <c r="AC162" s="189"/>
      <c r="AD162" s="189"/>
      <c r="AE162" s="189"/>
      <c r="AF162" s="189"/>
      <c r="AG162" s="189"/>
      <c r="AH162" s="189"/>
      <c r="AI162" s="189"/>
      <c r="AJ162" s="189"/>
      <c r="AK162" s="189"/>
      <c r="AL162" s="189"/>
      <c r="AM162" s="189"/>
      <c r="AN162" s="189"/>
      <c r="AO162" s="189"/>
      <c r="AP162" s="189"/>
      <c r="AQ162" s="189"/>
      <c r="AR162" s="189"/>
      <c r="AS162" s="189"/>
      <c r="AT162" s="189"/>
      <c r="AU162" s="189"/>
      <c r="AV162" s="189"/>
      <c r="AW162" s="189"/>
      <c r="AX162" s="189"/>
      <c r="AY162" s="189"/>
      <c r="AZ162" s="189"/>
      <c r="BA162" s="189"/>
    </row>
    <row r="163" spans="1:53" x14ac:dyDescent="0.25">
      <c r="A163" s="428" t="str">
        <f>A148</f>
        <v>9p/kWh, favourable  capex</v>
      </c>
      <c r="B163" s="436">
        <f t="dataTable" ref="B163:K174" dt2D="1" dtr="1" r1="B2" r2="B3" ca="1"/>
        <v>1403.8749999999998</v>
      </c>
      <c r="C163" s="436">
        <v>2807.7499999999995</v>
      </c>
      <c r="D163" s="436">
        <v>842.32500000000005</v>
      </c>
      <c r="E163" s="436">
        <v>1684.65</v>
      </c>
      <c r="F163" s="436">
        <v>842.32500000000005</v>
      </c>
      <c r="G163" s="436">
        <v>1684.65</v>
      </c>
      <c r="H163" s="436">
        <v>842.32500000000005</v>
      </c>
      <c r="I163" s="436">
        <v>0</v>
      </c>
      <c r="J163" s="436">
        <v>0</v>
      </c>
      <c r="K163" s="436">
        <v>0</v>
      </c>
      <c r="L163" s="189"/>
      <c r="M163" s="189"/>
      <c r="N163" s="189"/>
      <c r="O163" s="189"/>
      <c r="P163" s="189"/>
      <c r="Q163" s="189"/>
      <c r="R163" s="189"/>
      <c r="S163" s="189"/>
      <c r="T163" s="189"/>
      <c r="U163" s="189"/>
      <c r="V163" s="189"/>
      <c r="W163" s="189"/>
      <c r="X163" s="189"/>
      <c r="Y163" s="189"/>
      <c r="Z163" s="189"/>
      <c r="AA163" s="189"/>
      <c r="AB163" s="189"/>
      <c r="AC163" s="189"/>
      <c r="AD163" s="189"/>
      <c r="AE163" s="189"/>
      <c r="AF163" s="189"/>
      <c r="AG163" s="189"/>
      <c r="AH163" s="189"/>
      <c r="AI163" s="189"/>
      <c r="AJ163" s="189"/>
      <c r="AK163" s="189"/>
      <c r="AL163" s="189"/>
      <c r="AM163" s="189"/>
      <c r="AN163" s="189"/>
      <c r="AO163" s="189"/>
      <c r="AP163" s="189"/>
      <c r="AQ163" s="189"/>
      <c r="AR163" s="189"/>
      <c r="AS163" s="189"/>
      <c r="AT163" s="189"/>
      <c r="AU163" s="189"/>
      <c r="AV163" s="189"/>
      <c r="AW163" s="189"/>
      <c r="AX163" s="189"/>
      <c r="AY163" s="189"/>
      <c r="AZ163" s="189"/>
      <c r="BA163" s="189"/>
    </row>
    <row r="164" spans="1:53" x14ac:dyDescent="0.25">
      <c r="A164" s="428" t="str">
        <f t="shared" ref="A164:A174" si="21">A149</f>
        <v>9p/kWh, high capex</v>
      </c>
      <c r="B164" s="436">
        <v>1403.8749999999998</v>
      </c>
      <c r="C164" s="436">
        <v>2807.7499999999995</v>
      </c>
      <c r="D164" s="436">
        <v>842.32500000000005</v>
      </c>
      <c r="E164" s="436">
        <v>1684.65</v>
      </c>
      <c r="F164" s="436">
        <v>842.32500000000005</v>
      </c>
      <c r="G164" s="436">
        <v>1684.65</v>
      </c>
      <c r="H164" s="436">
        <v>842.32500000000005</v>
      </c>
      <c r="I164" s="436">
        <v>0</v>
      </c>
      <c r="J164" s="436">
        <v>0</v>
      </c>
      <c r="K164" s="436">
        <v>0</v>
      </c>
      <c r="L164" s="189"/>
      <c r="M164" s="189"/>
      <c r="N164" s="189"/>
      <c r="O164" s="189"/>
      <c r="P164" s="189"/>
      <c r="Q164" s="189"/>
      <c r="R164" s="189"/>
      <c r="S164" s="189"/>
      <c r="T164" s="189"/>
      <c r="U164" s="189"/>
      <c r="V164" s="189"/>
      <c r="W164" s="189"/>
      <c r="X164" s="189"/>
      <c r="Y164" s="189"/>
      <c r="Z164" s="189"/>
      <c r="AA164" s="189"/>
      <c r="AB164" s="189"/>
      <c r="AC164" s="189"/>
      <c r="AD164" s="189"/>
      <c r="AE164" s="189"/>
      <c r="AF164" s="189"/>
      <c r="AG164" s="189"/>
      <c r="AH164" s="189"/>
      <c r="AI164" s="189"/>
      <c r="AJ164" s="189"/>
      <c r="AK164" s="189"/>
      <c r="AL164" s="189"/>
      <c r="AM164" s="189"/>
      <c r="AN164" s="189"/>
      <c r="AO164" s="189"/>
      <c r="AP164" s="189"/>
      <c r="AQ164" s="189"/>
      <c r="AR164" s="189"/>
      <c r="AS164" s="189"/>
      <c r="AT164" s="189"/>
      <c r="AU164" s="189"/>
      <c r="AV164" s="189"/>
      <c r="AW164" s="189"/>
      <c r="AX164" s="189"/>
      <c r="AY164" s="189"/>
      <c r="AZ164" s="189"/>
      <c r="BA164" s="189"/>
    </row>
    <row r="165" spans="1:53" x14ac:dyDescent="0.25">
      <c r="A165" s="428" t="str">
        <f t="shared" si="21"/>
        <v>10p/kWh, favourable  capex</v>
      </c>
      <c r="B165" s="436">
        <v>1403.8749999999998</v>
      </c>
      <c r="C165" s="436">
        <v>2807.7499999999995</v>
      </c>
      <c r="D165" s="436">
        <v>842.32500000000005</v>
      </c>
      <c r="E165" s="436">
        <v>1684.65</v>
      </c>
      <c r="F165" s="436">
        <v>842.32500000000005</v>
      </c>
      <c r="G165" s="436">
        <v>1684.65</v>
      </c>
      <c r="H165" s="436">
        <v>842.32500000000005</v>
      </c>
      <c r="I165" s="436">
        <v>0</v>
      </c>
      <c r="J165" s="436">
        <v>0</v>
      </c>
      <c r="K165" s="436">
        <v>0</v>
      </c>
      <c r="L165" s="189"/>
      <c r="M165" s="189"/>
      <c r="N165" s="189"/>
      <c r="O165" s="189"/>
      <c r="P165" s="189"/>
      <c r="Q165" s="189"/>
      <c r="R165" s="189"/>
      <c r="S165" s="189"/>
      <c r="T165" s="189"/>
      <c r="U165" s="189"/>
      <c r="V165" s="189"/>
      <c r="W165" s="189"/>
      <c r="X165" s="189"/>
      <c r="Y165" s="189"/>
      <c r="Z165" s="189"/>
      <c r="AA165" s="189"/>
      <c r="AB165" s="189"/>
      <c r="AC165" s="189"/>
      <c r="AD165" s="189"/>
      <c r="AE165" s="189"/>
      <c r="AF165" s="189"/>
      <c r="AG165" s="189"/>
      <c r="AH165" s="189"/>
      <c r="AI165" s="189"/>
      <c r="AJ165" s="189"/>
      <c r="AK165" s="189"/>
      <c r="AL165" s="189"/>
      <c r="AM165" s="189"/>
      <c r="AN165" s="189"/>
      <c r="AO165" s="189"/>
      <c r="AP165" s="189"/>
      <c r="AQ165" s="189"/>
      <c r="AR165" s="189"/>
      <c r="AS165" s="189"/>
      <c r="AT165" s="189"/>
      <c r="AU165" s="189"/>
      <c r="AV165" s="189"/>
      <c r="AW165" s="189"/>
      <c r="AX165" s="189"/>
      <c r="AY165" s="189"/>
      <c r="AZ165" s="189"/>
      <c r="BA165" s="189"/>
    </row>
    <row r="166" spans="1:53" x14ac:dyDescent="0.25">
      <c r="A166" s="428" t="str">
        <f t="shared" si="21"/>
        <v>10p/kWh, high capex</v>
      </c>
      <c r="B166" s="436">
        <v>1403.8749999999998</v>
      </c>
      <c r="C166" s="436">
        <v>2807.7499999999995</v>
      </c>
      <c r="D166" s="436">
        <v>842.32500000000005</v>
      </c>
      <c r="E166" s="436">
        <v>1684.65</v>
      </c>
      <c r="F166" s="436">
        <v>842.32500000000005</v>
      </c>
      <c r="G166" s="436">
        <v>1684.65</v>
      </c>
      <c r="H166" s="436">
        <v>842.32500000000005</v>
      </c>
      <c r="I166" s="436">
        <v>0</v>
      </c>
      <c r="J166" s="436">
        <v>0</v>
      </c>
      <c r="K166" s="436">
        <v>0</v>
      </c>
      <c r="L166" s="189"/>
      <c r="M166" s="189"/>
      <c r="N166" s="189"/>
      <c r="O166" s="189"/>
      <c r="P166" s="189"/>
      <c r="Q166" s="189"/>
      <c r="R166" s="189"/>
      <c r="S166" s="189"/>
      <c r="T166" s="189"/>
      <c r="U166" s="189"/>
      <c r="V166" s="189"/>
      <c r="W166" s="189"/>
      <c r="X166" s="189"/>
      <c r="Y166" s="189"/>
      <c r="Z166" s="189"/>
      <c r="AA166" s="189"/>
      <c r="AB166" s="189"/>
      <c r="AC166" s="189"/>
      <c r="AD166" s="189"/>
      <c r="AE166" s="189"/>
      <c r="AF166" s="189"/>
      <c r="AG166" s="189"/>
      <c r="AH166" s="189"/>
      <c r="AI166" s="189"/>
      <c r="AJ166" s="189"/>
      <c r="AK166" s="189"/>
      <c r="AL166" s="189"/>
      <c r="AM166" s="189"/>
      <c r="AN166" s="189"/>
      <c r="AO166" s="189"/>
      <c r="AP166" s="189"/>
      <c r="AQ166" s="189"/>
      <c r="AR166" s="189"/>
      <c r="AS166" s="189"/>
      <c r="AT166" s="189"/>
      <c r="AU166" s="189"/>
      <c r="AV166" s="189"/>
      <c r="AW166" s="189"/>
      <c r="AX166" s="189"/>
      <c r="AY166" s="189"/>
      <c r="AZ166" s="189"/>
      <c r="BA166" s="189"/>
    </row>
    <row r="167" spans="1:53" x14ac:dyDescent="0.25">
      <c r="A167" s="428" t="str">
        <f t="shared" si="21"/>
        <v>12p/kWh, favourable  capex</v>
      </c>
      <c r="B167" s="436">
        <v>1403.8749999999998</v>
      </c>
      <c r="C167" s="436">
        <v>2807.7499999999995</v>
      </c>
      <c r="D167" s="436">
        <v>842.32500000000005</v>
      </c>
      <c r="E167" s="436">
        <v>1684.65</v>
      </c>
      <c r="F167" s="436">
        <v>842.32500000000005</v>
      </c>
      <c r="G167" s="436">
        <v>1684.65</v>
      </c>
      <c r="H167" s="436">
        <v>842.32500000000005</v>
      </c>
      <c r="I167" s="436">
        <v>0</v>
      </c>
      <c r="J167" s="436">
        <v>0</v>
      </c>
      <c r="K167" s="436">
        <v>0</v>
      </c>
      <c r="L167" s="189"/>
      <c r="M167" s="189"/>
      <c r="N167" s="189"/>
      <c r="O167" s="189"/>
      <c r="P167" s="189"/>
      <c r="Q167" s="189"/>
      <c r="R167" s="189"/>
      <c r="S167" s="189"/>
      <c r="T167" s="189"/>
      <c r="U167" s="189"/>
      <c r="V167" s="189"/>
      <c r="W167" s="189"/>
      <c r="X167" s="189"/>
      <c r="Y167" s="189"/>
      <c r="Z167" s="189"/>
      <c r="AA167" s="189"/>
      <c r="AB167" s="189"/>
      <c r="AC167" s="189"/>
      <c r="AD167" s="189"/>
      <c r="AE167" s="189"/>
      <c r="AF167" s="189"/>
      <c r="AG167" s="189"/>
      <c r="AH167" s="189"/>
      <c r="AI167" s="189"/>
      <c r="AJ167" s="189"/>
      <c r="AK167" s="189"/>
      <c r="AL167" s="189"/>
      <c r="AM167" s="189"/>
      <c r="AN167" s="189"/>
      <c r="AO167" s="189"/>
      <c r="AP167" s="189"/>
      <c r="AQ167" s="189"/>
      <c r="AR167" s="189"/>
      <c r="AS167" s="189"/>
      <c r="AT167" s="189"/>
      <c r="AU167" s="189"/>
      <c r="AV167" s="189"/>
      <c r="AW167" s="189"/>
      <c r="AX167" s="189"/>
      <c r="AY167" s="189"/>
      <c r="AZ167" s="189"/>
      <c r="BA167" s="189"/>
    </row>
    <row r="168" spans="1:53" x14ac:dyDescent="0.25">
      <c r="A168" s="428" t="str">
        <f t="shared" si="21"/>
        <v>12p/kWh, high capex</v>
      </c>
      <c r="B168" s="436">
        <v>1403.8749999999998</v>
      </c>
      <c r="C168" s="436">
        <v>2807.7499999999995</v>
      </c>
      <c r="D168" s="436">
        <v>842.32500000000005</v>
      </c>
      <c r="E168" s="436">
        <v>1684.65</v>
      </c>
      <c r="F168" s="436">
        <v>842.32500000000005</v>
      </c>
      <c r="G168" s="436">
        <v>1684.65</v>
      </c>
      <c r="H168" s="436">
        <v>842.32500000000005</v>
      </c>
      <c r="I168" s="436">
        <v>0</v>
      </c>
      <c r="J168" s="436">
        <v>0</v>
      </c>
      <c r="K168" s="436">
        <v>0</v>
      </c>
      <c r="L168" s="189"/>
      <c r="M168" s="189"/>
      <c r="N168" s="189"/>
      <c r="O168" s="189"/>
      <c r="P168" s="189"/>
      <c r="Q168" s="189"/>
      <c r="R168" s="189"/>
      <c r="S168" s="189"/>
      <c r="T168" s="189"/>
      <c r="U168" s="189"/>
      <c r="V168" s="189"/>
      <c r="W168" s="189"/>
      <c r="X168" s="189"/>
      <c r="Y168" s="189"/>
      <c r="Z168" s="189"/>
      <c r="AA168" s="189"/>
      <c r="AB168" s="189"/>
      <c r="AC168" s="189"/>
      <c r="AD168" s="189"/>
      <c r="AE168" s="189"/>
      <c r="AF168" s="189"/>
      <c r="AG168" s="189"/>
      <c r="AH168" s="189"/>
      <c r="AI168" s="189"/>
      <c r="AJ168" s="189"/>
      <c r="AK168" s="189"/>
      <c r="AL168" s="189"/>
      <c r="AM168" s="189"/>
      <c r="AN168" s="189"/>
      <c r="AO168" s="189"/>
      <c r="AP168" s="189"/>
      <c r="AQ168" s="189"/>
      <c r="AR168" s="189"/>
      <c r="AS168" s="189"/>
      <c r="AT168" s="189"/>
      <c r="AU168" s="189"/>
      <c r="AV168" s="189"/>
      <c r="AW168" s="189"/>
      <c r="AX168" s="189"/>
      <c r="AY168" s="189"/>
      <c r="AZ168" s="189"/>
      <c r="BA168" s="189"/>
    </row>
    <row r="169" spans="1:53" x14ac:dyDescent="0.25">
      <c r="A169" s="428" t="str">
        <f t="shared" si="21"/>
        <v>9p/kWh, mid capex, high grid</v>
      </c>
      <c r="B169" s="436">
        <v>1403.8749999999998</v>
      </c>
      <c r="C169" s="436">
        <v>2807.7499999999995</v>
      </c>
      <c r="D169" s="436">
        <v>842.32500000000005</v>
      </c>
      <c r="E169" s="436">
        <v>1684.65</v>
      </c>
      <c r="F169" s="436">
        <v>842.32500000000005</v>
      </c>
      <c r="G169" s="436">
        <v>1684.65</v>
      </c>
      <c r="H169" s="436">
        <v>842.32500000000005</v>
      </c>
      <c r="I169" s="436">
        <v>0</v>
      </c>
      <c r="J169" s="436">
        <v>0</v>
      </c>
      <c r="K169" s="436">
        <v>0</v>
      </c>
      <c r="L169" s="189"/>
      <c r="M169" s="189"/>
      <c r="N169" s="189"/>
      <c r="O169" s="189"/>
      <c r="P169" s="189"/>
      <c r="Q169" s="189"/>
      <c r="R169" s="189"/>
      <c r="S169" s="189"/>
      <c r="T169" s="189"/>
      <c r="U169" s="189"/>
      <c r="V169" s="189"/>
      <c r="W169" s="189"/>
      <c r="X169" s="189"/>
      <c r="Y169" s="189"/>
      <c r="Z169" s="189"/>
      <c r="AA169" s="189"/>
      <c r="AB169" s="189"/>
      <c r="AC169" s="189"/>
      <c r="AD169" s="189"/>
      <c r="AE169" s="189"/>
      <c r="AF169" s="189"/>
      <c r="AG169" s="189"/>
      <c r="AH169" s="189"/>
      <c r="AI169" s="189"/>
      <c r="AJ169" s="189"/>
      <c r="AK169" s="189"/>
      <c r="AL169" s="189"/>
      <c r="AM169" s="189"/>
      <c r="AN169" s="189"/>
      <c r="AO169" s="189"/>
      <c r="AP169" s="189"/>
      <c r="AQ169" s="189"/>
      <c r="AR169" s="189"/>
      <c r="AS169" s="189"/>
      <c r="AT169" s="189"/>
      <c r="AU169" s="189"/>
      <c r="AV169" s="189"/>
      <c r="AW169" s="189"/>
      <c r="AX169" s="189"/>
      <c r="AY169" s="189"/>
      <c r="AZ169" s="189"/>
      <c r="BA169" s="189"/>
    </row>
    <row r="170" spans="1:53" x14ac:dyDescent="0.25">
      <c r="A170" s="428" t="str">
        <f t="shared" si="21"/>
        <v>9p/kWh, high capex, high grid</v>
      </c>
      <c r="B170" s="436">
        <v>1403.8749999999998</v>
      </c>
      <c r="C170" s="436">
        <v>2807.7499999999995</v>
      </c>
      <c r="D170" s="436">
        <v>842.32500000000005</v>
      </c>
      <c r="E170" s="436">
        <v>1684.65</v>
      </c>
      <c r="F170" s="436">
        <v>842.32500000000005</v>
      </c>
      <c r="G170" s="436">
        <v>1684.65</v>
      </c>
      <c r="H170" s="436">
        <v>842.32500000000005</v>
      </c>
      <c r="I170" s="436">
        <v>0</v>
      </c>
      <c r="J170" s="436">
        <v>0</v>
      </c>
      <c r="K170" s="436">
        <v>0</v>
      </c>
      <c r="L170" s="189"/>
      <c r="M170" s="189"/>
      <c r="N170" s="189"/>
      <c r="O170" s="189"/>
      <c r="P170" s="189"/>
      <c r="Q170" s="189"/>
      <c r="R170" s="189"/>
      <c r="S170" s="189"/>
      <c r="T170" s="189"/>
      <c r="U170" s="189"/>
      <c r="V170" s="189"/>
      <c r="W170" s="189"/>
      <c r="X170" s="189"/>
      <c r="Y170" s="189"/>
      <c r="Z170" s="189"/>
      <c r="AA170" s="189"/>
      <c r="AB170" s="189"/>
      <c r="AC170" s="189"/>
      <c r="AD170" s="189"/>
      <c r="AE170" s="189"/>
      <c r="AF170" s="189"/>
      <c r="AG170" s="189"/>
      <c r="AH170" s="189"/>
      <c r="AI170" s="189"/>
      <c r="AJ170" s="189"/>
      <c r="AK170" s="189"/>
      <c r="AL170" s="189"/>
      <c r="AM170" s="189"/>
      <c r="AN170" s="189"/>
      <c r="AO170" s="189"/>
      <c r="AP170" s="189"/>
      <c r="AQ170" s="189"/>
      <c r="AR170" s="189"/>
      <c r="AS170" s="189"/>
      <c r="AT170" s="189"/>
      <c r="AU170" s="189"/>
      <c r="AV170" s="189"/>
      <c r="AW170" s="189"/>
      <c r="AX170" s="189"/>
      <c r="AY170" s="189"/>
      <c r="AZ170" s="189"/>
      <c r="BA170" s="189"/>
    </row>
    <row r="171" spans="1:53" x14ac:dyDescent="0.25">
      <c r="A171" s="428" t="str">
        <f t="shared" si="21"/>
        <v>10p/kWh, mid capex, high grid</v>
      </c>
      <c r="B171" s="436">
        <v>1403.8749999999998</v>
      </c>
      <c r="C171" s="436">
        <v>2807.7499999999995</v>
      </c>
      <c r="D171" s="436">
        <v>842.32500000000005</v>
      </c>
      <c r="E171" s="436">
        <v>1684.65</v>
      </c>
      <c r="F171" s="436">
        <v>842.32500000000005</v>
      </c>
      <c r="G171" s="436">
        <v>1684.65</v>
      </c>
      <c r="H171" s="436">
        <v>842.32500000000005</v>
      </c>
      <c r="I171" s="436">
        <v>0</v>
      </c>
      <c r="J171" s="436">
        <v>0</v>
      </c>
      <c r="K171" s="436">
        <v>0</v>
      </c>
      <c r="L171" s="189"/>
      <c r="M171" s="189"/>
      <c r="N171" s="189"/>
      <c r="O171" s="189"/>
      <c r="P171" s="189"/>
      <c r="Q171" s="189"/>
      <c r="R171" s="189"/>
      <c r="S171" s="189"/>
      <c r="T171" s="189"/>
      <c r="U171" s="189"/>
      <c r="V171" s="189"/>
      <c r="W171" s="189"/>
      <c r="X171" s="189"/>
      <c r="Y171" s="189"/>
      <c r="Z171" s="189"/>
      <c r="AA171" s="189"/>
      <c r="AB171" s="189"/>
      <c r="AC171" s="189"/>
      <c r="AD171" s="189"/>
      <c r="AE171" s="189"/>
      <c r="AF171" s="189"/>
      <c r="AG171" s="189"/>
      <c r="AH171" s="189"/>
      <c r="AI171" s="189"/>
      <c r="AJ171" s="189"/>
      <c r="AK171" s="189"/>
      <c r="AL171" s="189"/>
      <c r="AM171" s="189"/>
      <c r="AN171" s="189"/>
      <c r="AO171" s="189"/>
      <c r="AP171" s="189"/>
      <c r="AQ171" s="189"/>
      <c r="AR171" s="189"/>
      <c r="AS171" s="189"/>
      <c r="AT171" s="189"/>
      <c r="AU171" s="189"/>
      <c r="AV171" s="189"/>
      <c r="AW171" s="189"/>
      <c r="AX171" s="189"/>
      <c r="AY171" s="189"/>
      <c r="AZ171" s="189"/>
      <c r="BA171" s="189"/>
    </row>
    <row r="172" spans="1:53" x14ac:dyDescent="0.25">
      <c r="A172" s="428" t="str">
        <f t="shared" si="21"/>
        <v>10p/kWh, high capex, high grid</v>
      </c>
      <c r="B172" s="436">
        <v>1403.8749999999998</v>
      </c>
      <c r="C172" s="436">
        <v>2807.7499999999995</v>
      </c>
      <c r="D172" s="436">
        <v>842.32500000000005</v>
      </c>
      <c r="E172" s="436">
        <v>1684.65</v>
      </c>
      <c r="F172" s="436">
        <v>842.32500000000005</v>
      </c>
      <c r="G172" s="436">
        <v>1684.65</v>
      </c>
      <c r="H172" s="436">
        <v>842.32500000000005</v>
      </c>
      <c r="I172" s="436">
        <v>0</v>
      </c>
      <c r="J172" s="436">
        <v>0</v>
      </c>
      <c r="K172" s="436">
        <v>0</v>
      </c>
      <c r="L172" s="189"/>
      <c r="M172" s="189"/>
      <c r="N172" s="189"/>
      <c r="O172" s="189"/>
      <c r="P172" s="189"/>
      <c r="Q172" s="189"/>
      <c r="R172" s="189"/>
      <c r="S172" s="189"/>
      <c r="T172" s="189"/>
      <c r="U172" s="189"/>
      <c r="V172" s="189"/>
      <c r="W172" s="189"/>
      <c r="X172" s="189"/>
      <c r="Y172" s="189"/>
      <c r="Z172" s="189"/>
      <c r="AA172" s="189"/>
      <c r="AB172" s="189"/>
      <c r="AC172" s="189"/>
      <c r="AD172" s="189"/>
      <c r="AE172" s="189"/>
      <c r="AF172" s="189"/>
      <c r="AG172" s="189"/>
      <c r="AH172" s="189"/>
      <c r="AI172" s="189"/>
      <c r="AJ172" s="189"/>
      <c r="AK172" s="189"/>
      <c r="AL172" s="189"/>
      <c r="AM172" s="189"/>
      <c r="AN172" s="189"/>
      <c r="AO172" s="189"/>
      <c r="AP172" s="189"/>
      <c r="AQ172" s="189"/>
      <c r="AR172" s="189"/>
      <c r="AS172" s="189"/>
      <c r="AT172" s="189"/>
      <c r="AU172" s="189"/>
      <c r="AV172" s="189"/>
      <c r="AW172" s="189"/>
      <c r="AX172" s="189"/>
      <c r="AY172" s="189"/>
      <c r="AZ172" s="189"/>
      <c r="BA172" s="189"/>
    </row>
    <row r="173" spans="1:53" x14ac:dyDescent="0.25">
      <c r="A173" s="428" t="str">
        <f t="shared" si="21"/>
        <v>12p/kWh, mid capex, high grid</v>
      </c>
      <c r="B173" s="436">
        <v>1403.8749999999998</v>
      </c>
      <c r="C173" s="436">
        <v>2807.7499999999995</v>
      </c>
      <c r="D173" s="436">
        <v>842.32500000000005</v>
      </c>
      <c r="E173" s="436">
        <v>1684.65</v>
      </c>
      <c r="F173" s="436">
        <v>842.32500000000005</v>
      </c>
      <c r="G173" s="436">
        <v>1684.65</v>
      </c>
      <c r="H173" s="436">
        <v>842.32500000000005</v>
      </c>
      <c r="I173" s="436">
        <v>0</v>
      </c>
      <c r="J173" s="436">
        <v>0</v>
      </c>
      <c r="K173" s="436">
        <v>0</v>
      </c>
      <c r="L173" s="189"/>
      <c r="M173" s="189"/>
      <c r="N173" s="189"/>
      <c r="O173" s="189"/>
      <c r="P173" s="189"/>
      <c r="Q173" s="189"/>
      <c r="R173" s="189"/>
      <c r="S173" s="189"/>
      <c r="T173" s="189"/>
      <c r="U173" s="189"/>
      <c r="V173" s="189"/>
      <c r="W173" s="189"/>
      <c r="X173" s="189"/>
      <c r="Y173" s="189"/>
      <c r="Z173" s="189"/>
      <c r="AA173" s="189"/>
      <c r="AB173" s="189"/>
      <c r="AC173" s="189"/>
      <c r="AD173" s="189"/>
      <c r="AE173" s="189"/>
      <c r="AF173" s="189"/>
      <c r="AG173" s="189"/>
      <c r="AH173" s="189"/>
      <c r="AI173" s="189"/>
      <c r="AJ173" s="189"/>
      <c r="AK173" s="189"/>
      <c r="AL173" s="189"/>
      <c r="AM173" s="189"/>
      <c r="AN173" s="189"/>
      <c r="AO173" s="189"/>
      <c r="AP173" s="189"/>
      <c r="AQ173" s="189"/>
      <c r="AR173" s="189"/>
      <c r="AS173" s="189"/>
      <c r="AT173" s="189"/>
      <c r="AU173" s="189"/>
      <c r="AV173" s="189"/>
      <c r="AW173" s="189"/>
      <c r="AX173" s="189"/>
      <c r="AY173" s="189"/>
      <c r="AZ173" s="189"/>
      <c r="BA173" s="189"/>
    </row>
    <row r="174" spans="1:53" x14ac:dyDescent="0.25">
      <c r="A174" s="428" t="str">
        <f t="shared" si="21"/>
        <v>12p/kWh, high capex, high grid</v>
      </c>
      <c r="B174" s="436">
        <v>1403.8749999999998</v>
      </c>
      <c r="C174" s="436">
        <v>2807.7499999999995</v>
      </c>
      <c r="D174" s="436">
        <v>842.32500000000005</v>
      </c>
      <c r="E174" s="436">
        <v>1684.65</v>
      </c>
      <c r="F174" s="436">
        <v>842.32500000000005</v>
      </c>
      <c r="G174" s="436">
        <v>1684.65</v>
      </c>
      <c r="H174" s="436">
        <v>842.32500000000005</v>
      </c>
      <c r="I174" s="436">
        <v>0</v>
      </c>
      <c r="J174" s="436">
        <v>0</v>
      </c>
      <c r="K174" s="436">
        <v>0</v>
      </c>
      <c r="L174" s="189"/>
      <c r="M174" s="189"/>
      <c r="N174" s="189"/>
      <c r="O174" s="189"/>
      <c r="P174" s="189"/>
      <c r="Q174" s="189"/>
      <c r="R174" s="189"/>
      <c r="S174" s="189"/>
      <c r="T174" s="189"/>
      <c r="U174" s="189"/>
      <c r="V174" s="189"/>
      <c r="W174" s="189"/>
      <c r="X174" s="189"/>
      <c r="Y174" s="189"/>
      <c r="Z174" s="189"/>
      <c r="AA174" s="189"/>
      <c r="AB174" s="189"/>
      <c r="AC174" s="189"/>
      <c r="AD174" s="189"/>
      <c r="AE174" s="189"/>
      <c r="AF174" s="189"/>
      <c r="AG174" s="189"/>
      <c r="AH174" s="189"/>
      <c r="AI174" s="189"/>
      <c r="AJ174" s="189"/>
      <c r="AK174" s="189"/>
      <c r="AL174" s="189"/>
      <c r="AM174" s="189"/>
      <c r="AN174" s="189"/>
      <c r="AO174" s="189"/>
      <c r="AP174" s="189"/>
      <c r="AQ174" s="189"/>
      <c r="AR174" s="189"/>
      <c r="AS174" s="189"/>
      <c r="AT174" s="189"/>
      <c r="AU174" s="189"/>
      <c r="AV174" s="189"/>
      <c r="AW174" s="189"/>
      <c r="AX174" s="189"/>
      <c r="AY174" s="189"/>
      <c r="AZ174" s="189"/>
      <c r="BA174" s="189"/>
    </row>
    <row r="175" spans="1:53" x14ac:dyDescent="0.25">
      <c r="A175" s="189"/>
      <c r="B175" s="189"/>
      <c r="C175" s="189"/>
      <c r="D175" s="189"/>
      <c r="E175" s="189"/>
      <c r="F175" s="189"/>
      <c r="G175" s="189"/>
      <c r="H175" s="189"/>
      <c r="I175" s="189"/>
      <c r="J175" s="189"/>
      <c r="K175" s="189"/>
    </row>
    <row r="176" spans="1:53" x14ac:dyDescent="0.25">
      <c r="A176" s="395" t="s">
        <v>485</v>
      </c>
      <c r="B176" s="189"/>
      <c r="C176" s="189"/>
      <c r="D176" s="189"/>
      <c r="E176" s="189"/>
      <c r="F176" s="189"/>
      <c r="G176" s="189"/>
      <c r="H176" s="189"/>
      <c r="I176" s="189"/>
      <c r="J176" s="189"/>
      <c r="K176" s="189"/>
    </row>
    <row r="177" spans="1:11" ht="39.6" x14ac:dyDescent="0.25">
      <c r="A177" s="435">
        <f>B47</f>
        <v>0</v>
      </c>
      <c r="B177" s="426" t="str">
        <f>B162</f>
        <v>500kW, 
£500/acre</v>
      </c>
      <c r="C177" s="426" t="str">
        <f t="shared" ref="C177:K177" si="22">C162</f>
        <v>500kW, 
£1000/acre</v>
      </c>
      <c r="D177" s="426" t="str">
        <f t="shared" si="22"/>
        <v>300kW, 
£500/acre</v>
      </c>
      <c r="E177" s="427" t="str">
        <f t="shared" si="22"/>
        <v>300kW, 
£1000/acre</v>
      </c>
      <c r="F177" s="427" t="str">
        <f t="shared" si="22"/>
        <v>300kW, 
£500/acre (no export)</v>
      </c>
      <c r="G177" s="427" t="str">
        <f t="shared" si="22"/>
        <v>300kW, 
£1000/acre (no export)</v>
      </c>
      <c r="H177" s="427" t="str">
        <f t="shared" si="22"/>
        <v>500kW, 
£500/acre (no grant)</v>
      </c>
      <c r="I177" s="427" t="str">
        <f t="shared" si="22"/>
        <v>Blank site 2</v>
      </c>
      <c r="J177" s="427" t="str">
        <f t="shared" si="22"/>
        <v>Blank site 3</v>
      </c>
      <c r="K177" s="427" t="str">
        <f t="shared" si="22"/>
        <v>Blank site 4</v>
      </c>
    </row>
    <row r="178" spans="1:11" x14ac:dyDescent="0.25">
      <c r="A178" s="428" t="str">
        <f>A163</f>
        <v>9p/kWh, favourable  capex</v>
      </c>
      <c r="B178" s="436">
        <f t="dataTable" ref="B178:K189" dt2D="1" dtr="1" r1="B2" r2="B3" ca="1"/>
        <v>287000</v>
      </c>
      <c r="C178" s="436">
        <v>259100</v>
      </c>
      <c r="D178" s="436">
        <v>157000</v>
      </c>
      <c r="E178" s="436">
        <v>140300</v>
      </c>
      <c r="F178" s="436">
        <v>185500</v>
      </c>
      <c r="G178" s="436">
        <v>173100</v>
      </c>
      <c r="H178" s="436">
        <v>-29700</v>
      </c>
      <c r="I178" s="436">
        <v>0</v>
      </c>
      <c r="J178" s="436">
        <v>0</v>
      </c>
      <c r="K178" s="436">
        <v>0</v>
      </c>
    </row>
    <row r="179" spans="1:11" x14ac:dyDescent="0.25">
      <c r="A179" s="428" t="str">
        <f t="shared" ref="A179:A189" si="23">A164</f>
        <v>9p/kWh, high capex</v>
      </c>
      <c r="B179" s="436">
        <v>194700</v>
      </c>
      <c r="C179" s="436">
        <v>166700</v>
      </c>
      <c r="D179" s="436">
        <v>101300</v>
      </c>
      <c r="E179" s="436">
        <v>84500</v>
      </c>
      <c r="F179" s="436">
        <v>129700</v>
      </c>
      <c r="G179" s="436">
        <v>117300</v>
      </c>
      <c r="H179" s="436">
        <v>-122000</v>
      </c>
      <c r="I179" s="436">
        <v>0</v>
      </c>
      <c r="J179" s="436">
        <v>0</v>
      </c>
      <c r="K179" s="436">
        <v>0</v>
      </c>
    </row>
    <row r="180" spans="1:11" x14ac:dyDescent="0.25">
      <c r="A180" s="428" t="str">
        <f t="shared" si="23"/>
        <v>10p/kWh, favourable  capex</v>
      </c>
      <c r="B180" s="436">
        <v>350100</v>
      </c>
      <c r="C180" s="436">
        <v>322200</v>
      </c>
      <c r="D180" s="436">
        <v>194900</v>
      </c>
      <c r="E180" s="436">
        <v>178100</v>
      </c>
      <c r="F180" s="436">
        <v>232800</v>
      </c>
      <c r="G180" s="436">
        <v>220400</v>
      </c>
      <c r="H180" s="436">
        <v>17700</v>
      </c>
      <c r="I180" s="436">
        <v>0</v>
      </c>
      <c r="J180" s="436">
        <v>0</v>
      </c>
      <c r="K180" s="436">
        <v>0</v>
      </c>
    </row>
    <row r="181" spans="1:11" x14ac:dyDescent="0.25">
      <c r="A181" s="428" t="str">
        <f t="shared" si="23"/>
        <v>10p/kWh, high capex</v>
      </c>
      <c r="B181" s="436">
        <v>257800</v>
      </c>
      <c r="C181" s="436">
        <v>229800</v>
      </c>
      <c r="D181" s="436">
        <v>139100</v>
      </c>
      <c r="E181" s="436">
        <v>122400</v>
      </c>
      <c r="F181" s="436">
        <v>177100</v>
      </c>
      <c r="G181" s="436">
        <v>164600</v>
      </c>
      <c r="H181" s="436">
        <v>-74700</v>
      </c>
      <c r="I181" s="436">
        <v>0</v>
      </c>
      <c r="J181" s="436">
        <v>0</v>
      </c>
      <c r="K181" s="436">
        <v>0</v>
      </c>
    </row>
    <row r="182" spans="1:11" x14ac:dyDescent="0.25">
      <c r="A182" s="428" t="str">
        <f t="shared" si="23"/>
        <v>12p/kWh, favourable  capex</v>
      </c>
      <c r="B182" s="436">
        <v>476300</v>
      </c>
      <c r="C182" s="436">
        <v>448400</v>
      </c>
      <c r="D182" s="436">
        <v>270600</v>
      </c>
      <c r="E182" s="436">
        <v>253900</v>
      </c>
      <c r="F182" s="436">
        <v>327500</v>
      </c>
      <c r="G182" s="436">
        <v>315100</v>
      </c>
      <c r="H182" s="436">
        <v>112300</v>
      </c>
      <c r="I182" s="436">
        <v>0</v>
      </c>
      <c r="J182" s="436">
        <v>0</v>
      </c>
      <c r="K182" s="436">
        <v>0</v>
      </c>
    </row>
    <row r="183" spans="1:11" x14ac:dyDescent="0.25">
      <c r="A183" s="428" t="str">
        <f t="shared" si="23"/>
        <v>12p/kWh, high capex</v>
      </c>
      <c r="B183" s="436">
        <v>384000</v>
      </c>
      <c r="C183" s="436">
        <v>356000</v>
      </c>
      <c r="D183" s="436">
        <v>214900</v>
      </c>
      <c r="E183" s="436">
        <v>198100</v>
      </c>
      <c r="F183" s="436">
        <v>271700</v>
      </c>
      <c r="G183" s="436">
        <v>259300</v>
      </c>
      <c r="H183" s="436">
        <v>20000</v>
      </c>
      <c r="I183" s="436">
        <v>0</v>
      </c>
      <c r="J183" s="436">
        <v>0</v>
      </c>
      <c r="K183" s="436">
        <v>0</v>
      </c>
    </row>
    <row r="184" spans="1:11" x14ac:dyDescent="0.25">
      <c r="A184" s="428" t="str">
        <f t="shared" si="23"/>
        <v>9p/kWh, mid capex, high grid</v>
      </c>
      <c r="B184" s="436">
        <v>230800</v>
      </c>
      <c r="C184" s="436">
        <v>202800</v>
      </c>
      <c r="D184" s="436">
        <v>115400</v>
      </c>
      <c r="E184" s="436">
        <v>98600</v>
      </c>
      <c r="F184" s="436">
        <v>143900</v>
      </c>
      <c r="G184" s="436">
        <v>148800</v>
      </c>
      <c r="H184" s="436">
        <v>-85900</v>
      </c>
      <c r="I184" s="436">
        <v>0</v>
      </c>
      <c r="J184" s="436">
        <v>0</v>
      </c>
      <c r="K184" s="436">
        <v>0</v>
      </c>
    </row>
    <row r="185" spans="1:11" x14ac:dyDescent="0.25">
      <c r="A185" s="428" t="str">
        <f t="shared" si="23"/>
        <v>9p/kWh, high capex, high grid</v>
      </c>
      <c r="B185" s="436">
        <v>175300</v>
      </c>
      <c r="C185" s="436">
        <v>147400</v>
      </c>
      <c r="D185" s="436">
        <v>82000</v>
      </c>
      <c r="E185" s="436">
        <v>65200</v>
      </c>
      <c r="F185" s="436">
        <v>110400</v>
      </c>
      <c r="G185" s="436">
        <v>115400</v>
      </c>
      <c r="H185" s="436">
        <v>-141400</v>
      </c>
      <c r="I185" s="436">
        <v>0</v>
      </c>
      <c r="J185" s="436">
        <v>0</v>
      </c>
      <c r="K185" s="436">
        <v>0</v>
      </c>
    </row>
    <row r="186" spans="1:11" x14ac:dyDescent="0.25">
      <c r="A186" s="428" t="str">
        <f t="shared" si="23"/>
        <v>10p/kWh, mid capex, high grid</v>
      </c>
      <c r="B186" s="436">
        <v>293900</v>
      </c>
      <c r="C186" s="436">
        <v>265900</v>
      </c>
      <c r="D186" s="436">
        <v>153300</v>
      </c>
      <c r="E186" s="436">
        <v>136500</v>
      </c>
      <c r="F186" s="436">
        <v>191200</v>
      </c>
      <c r="G186" s="436">
        <v>196200</v>
      </c>
      <c r="H186" s="436">
        <v>-38600</v>
      </c>
      <c r="I186" s="436">
        <v>0</v>
      </c>
      <c r="J186" s="436">
        <v>0</v>
      </c>
      <c r="K186" s="436">
        <v>0</v>
      </c>
    </row>
    <row r="187" spans="1:11" x14ac:dyDescent="0.25">
      <c r="A187" s="428" t="str">
        <f t="shared" si="23"/>
        <v>10p/kWh, high capex, high grid</v>
      </c>
      <c r="B187" s="436">
        <v>238500</v>
      </c>
      <c r="C187" s="436">
        <v>210500</v>
      </c>
      <c r="D187" s="436">
        <v>119800</v>
      </c>
      <c r="E187" s="436">
        <v>103000</v>
      </c>
      <c r="F187" s="436">
        <v>157700</v>
      </c>
      <c r="G187" s="436">
        <v>162700</v>
      </c>
      <c r="H187" s="436">
        <v>-94000</v>
      </c>
      <c r="I187" s="436">
        <v>0</v>
      </c>
      <c r="J187" s="436">
        <v>0</v>
      </c>
      <c r="K187" s="436">
        <v>0</v>
      </c>
    </row>
    <row r="188" spans="1:11" x14ac:dyDescent="0.25">
      <c r="A188" s="428" t="str">
        <f t="shared" si="23"/>
        <v>12p/kWh, mid capex, high grid</v>
      </c>
      <c r="B188" s="436">
        <v>420100</v>
      </c>
      <c r="C188" s="436">
        <v>392100</v>
      </c>
      <c r="D188" s="436">
        <v>229000</v>
      </c>
      <c r="E188" s="436">
        <v>212200</v>
      </c>
      <c r="F188" s="436">
        <v>285900</v>
      </c>
      <c r="G188" s="436">
        <v>290800</v>
      </c>
      <c r="H188" s="436">
        <v>56100</v>
      </c>
      <c r="I188" s="436">
        <v>0</v>
      </c>
      <c r="J188" s="436">
        <v>0</v>
      </c>
      <c r="K188" s="436">
        <v>0</v>
      </c>
    </row>
    <row r="189" spans="1:11" x14ac:dyDescent="0.25">
      <c r="A189" s="428" t="str">
        <f t="shared" si="23"/>
        <v>12p/kWh, high capex, high grid</v>
      </c>
      <c r="B189" s="436">
        <v>364700</v>
      </c>
      <c r="C189" s="436">
        <v>336700</v>
      </c>
      <c r="D189" s="436">
        <v>195500</v>
      </c>
      <c r="E189" s="436">
        <v>178800</v>
      </c>
      <c r="F189" s="436">
        <v>252400</v>
      </c>
      <c r="G189" s="436">
        <v>257400</v>
      </c>
      <c r="H189" s="436">
        <v>700</v>
      </c>
      <c r="I189" s="436">
        <v>0</v>
      </c>
      <c r="J189" s="436">
        <v>0</v>
      </c>
      <c r="K189" s="436">
        <v>0</v>
      </c>
    </row>
    <row r="190" spans="1:11" x14ac:dyDescent="0.25">
      <c r="A190" s="189"/>
      <c r="B190" s="189"/>
      <c r="C190" s="189"/>
      <c r="D190" s="189"/>
      <c r="E190" s="189"/>
      <c r="F190" s="189"/>
      <c r="G190" s="189"/>
      <c r="H190" s="189"/>
      <c r="I190" s="189"/>
      <c r="J190" s="189"/>
      <c r="K190" s="189"/>
    </row>
    <row r="191" spans="1:11" x14ac:dyDescent="0.25">
      <c r="A191" s="395" t="s">
        <v>486</v>
      </c>
      <c r="B191" s="189"/>
      <c r="C191" s="189"/>
      <c r="D191" s="189"/>
      <c r="E191" s="189"/>
      <c r="F191" s="189"/>
      <c r="G191" s="189"/>
      <c r="H191" s="189"/>
      <c r="I191" s="189"/>
      <c r="J191" s="189"/>
      <c r="K191" s="189"/>
    </row>
    <row r="192" spans="1:11" ht="39.6" x14ac:dyDescent="0.25">
      <c r="A192" s="435">
        <f>B48</f>
        <v>0</v>
      </c>
      <c r="B192" s="426" t="str">
        <f>B177</f>
        <v>500kW, 
£500/acre</v>
      </c>
      <c r="C192" s="426" t="str">
        <f t="shared" ref="C192:K192" si="24">C177</f>
        <v>500kW, 
£1000/acre</v>
      </c>
      <c r="D192" s="426" t="str">
        <f t="shared" si="24"/>
        <v>300kW, 
£500/acre</v>
      </c>
      <c r="E192" s="427" t="str">
        <f t="shared" si="24"/>
        <v>300kW, 
£1000/acre</v>
      </c>
      <c r="F192" s="427" t="str">
        <f t="shared" si="24"/>
        <v>300kW, 
£500/acre (no export)</v>
      </c>
      <c r="G192" s="427" t="str">
        <f t="shared" si="24"/>
        <v>300kW, 
£1000/acre (no export)</v>
      </c>
      <c r="H192" s="427" t="str">
        <f t="shared" si="24"/>
        <v>500kW, 
£500/acre (no grant)</v>
      </c>
      <c r="I192" s="427" t="str">
        <f t="shared" si="24"/>
        <v>Blank site 2</v>
      </c>
      <c r="J192" s="427" t="str">
        <f t="shared" si="24"/>
        <v>Blank site 3</v>
      </c>
      <c r="K192" s="427" t="str">
        <f t="shared" si="24"/>
        <v>Blank site 4</v>
      </c>
    </row>
    <row r="193" spans="1:11" x14ac:dyDescent="0.25">
      <c r="A193" s="428" t="str">
        <f>A178</f>
        <v>9p/kWh, favourable  capex</v>
      </c>
      <c r="B193" s="436">
        <f t="dataTable" ref="B193:K204" dt2D="1" dtr="1" r1="B2" r2="B3" ca="1"/>
        <v>284200</v>
      </c>
      <c r="C193" s="436">
        <v>256200</v>
      </c>
      <c r="D193" s="436">
        <v>157000</v>
      </c>
      <c r="E193" s="436">
        <v>140300</v>
      </c>
      <c r="F193" s="436">
        <v>185500</v>
      </c>
      <c r="G193" s="436">
        <v>173100</v>
      </c>
      <c r="H193" s="436">
        <v>-34300</v>
      </c>
      <c r="I193" s="436">
        <v>0</v>
      </c>
      <c r="J193" s="436">
        <v>0</v>
      </c>
      <c r="K193" s="436">
        <v>0</v>
      </c>
    </row>
    <row r="194" spans="1:11" x14ac:dyDescent="0.25">
      <c r="A194" s="428" t="str">
        <f t="shared" ref="A194:A204" si="25">A179</f>
        <v>9p/kWh, high capex</v>
      </c>
      <c r="B194" s="436">
        <v>189500</v>
      </c>
      <c r="C194" s="436">
        <v>161500</v>
      </c>
      <c r="D194" s="436">
        <v>100700</v>
      </c>
      <c r="E194" s="436">
        <v>84000</v>
      </c>
      <c r="F194" s="436">
        <v>129200</v>
      </c>
      <c r="G194" s="436">
        <v>116900</v>
      </c>
      <c r="H194" s="436">
        <v>-129000</v>
      </c>
      <c r="I194" s="436">
        <v>0</v>
      </c>
      <c r="J194" s="436">
        <v>0</v>
      </c>
      <c r="K194" s="436">
        <v>0</v>
      </c>
    </row>
    <row r="195" spans="1:11" x14ac:dyDescent="0.25">
      <c r="A195" s="428" t="str">
        <f t="shared" si="25"/>
        <v>10p/kWh, favourable  capex</v>
      </c>
      <c r="B195" s="436">
        <v>347300</v>
      </c>
      <c r="C195" s="436">
        <v>319300</v>
      </c>
      <c r="D195" s="436">
        <v>194900</v>
      </c>
      <c r="E195" s="436">
        <v>178100</v>
      </c>
      <c r="F195" s="436">
        <v>232800</v>
      </c>
      <c r="G195" s="436">
        <v>220400</v>
      </c>
      <c r="H195" s="436">
        <v>13100</v>
      </c>
      <c r="I195" s="436">
        <v>0</v>
      </c>
      <c r="J195" s="436">
        <v>0</v>
      </c>
      <c r="K195" s="436">
        <v>0</v>
      </c>
    </row>
    <row r="196" spans="1:11" x14ac:dyDescent="0.25">
      <c r="A196" s="428" t="str">
        <f t="shared" si="25"/>
        <v>10p/kWh, high capex</v>
      </c>
      <c r="B196" s="436">
        <v>252600</v>
      </c>
      <c r="C196" s="436">
        <v>224600</v>
      </c>
      <c r="D196" s="436">
        <v>138600</v>
      </c>
      <c r="E196" s="436">
        <v>121800</v>
      </c>
      <c r="F196" s="436">
        <v>176500</v>
      </c>
      <c r="G196" s="436">
        <v>164200</v>
      </c>
      <c r="H196" s="436">
        <v>-81600</v>
      </c>
      <c r="I196" s="436">
        <v>0</v>
      </c>
      <c r="J196" s="436">
        <v>0</v>
      </c>
      <c r="K196" s="436">
        <v>0</v>
      </c>
    </row>
    <row r="197" spans="1:11" x14ac:dyDescent="0.25">
      <c r="A197" s="428" t="str">
        <f t="shared" si="25"/>
        <v>12p/kWh, favourable  capex</v>
      </c>
      <c r="B197" s="436">
        <v>473500</v>
      </c>
      <c r="C197" s="436">
        <v>445500</v>
      </c>
      <c r="D197" s="436">
        <v>270600</v>
      </c>
      <c r="E197" s="436">
        <v>253900</v>
      </c>
      <c r="F197" s="436">
        <v>327500</v>
      </c>
      <c r="G197" s="436">
        <v>315100</v>
      </c>
      <c r="H197" s="436">
        <v>107800</v>
      </c>
      <c r="I197" s="436">
        <v>0</v>
      </c>
      <c r="J197" s="436">
        <v>0</v>
      </c>
      <c r="K197" s="436">
        <v>0</v>
      </c>
    </row>
    <row r="198" spans="1:11" x14ac:dyDescent="0.25">
      <c r="A198" s="428" t="str">
        <f t="shared" si="25"/>
        <v>12p/kWh, high capex</v>
      </c>
      <c r="B198" s="436">
        <v>378800</v>
      </c>
      <c r="C198" s="436">
        <v>350800</v>
      </c>
      <c r="D198" s="436">
        <v>214300</v>
      </c>
      <c r="E198" s="436">
        <v>197500</v>
      </c>
      <c r="F198" s="436">
        <v>271200</v>
      </c>
      <c r="G198" s="436">
        <v>258900</v>
      </c>
      <c r="H198" s="436">
        <v>13100</v>
      </c>
      <c r="I198" s="436">
        <v>0</v>
      </c>
      <c r="J198" s="436">
        <v>0</v>
      </c>
      <c r="K198" s="436">
        <v>0</v>
      </c>
    </row>
    <row r="199" spans="1:11" x14ac:dyDescent="0.25">
      <c r="A199" s="428" t="str">
        <f t="shared" si="25"/>
        <v>9p/kWh, mid capex, high grid</v>
      </c>
      <c r="B199" s="436">
        <v>226500</v>
      </c>
      <c r="C199" s="436">
        <v>198500</v>
      </c>
      <c r="D199" s="436">
        <v>115200</v>
      </c>
      <c r="E199" s="436">
        <v>98500</v>
      </c>
      <c r="F199" s="436">
        <v>143700</v>
      </c>
      <c r="G199" s="436">
        <v>148800</v>
      </c>
      <c r="H199" s="436">
        <v>-92000</v>
      </c>
      <c r="I199" s="436">
        <v>0</v>
      </c>
      <c r="J199" s="436">
        <v>0</v>
      </c>
      <c r="K199" s="436">
        <v>0</v>
      </c>
    </row>
    <row r="200" spans="1:11" x14ac:dyDescent="0.25">
      <c r="A200" s="428" t="str">
        <f t="shared" si="25"/>
        <v>9p/kWh, high capex, high grid</v>
      </c>
      <c r="B200" s="436">
        <v>169700</v>
      </c>
      <c r="C200" s="436">
        <v>141700</v>
      </c>
      <c r="D200" s="436">
        <v>80900</v>
      </c>
      <c r="E200" s="436">
        <v>64100</v>
      </c>
      <c r="F200" s="436">
        <v>109400</v>
      </c>
      <c r="G200" s="436">
        <v>114900</v>
      </c>
      <c r="H200" s="436">
        <v>-148800</v>
      </c>
      <c r="I200" s="436">
        <v>0</v>
      </c>
      <c r="J200" s="436">
        <v>0</v>
      </c>
      <c r="K200" s="436">
        <v>0</v>
      </c>
    </row>
    <row r="201" spans="1:11" x14ac:dyDescent="0.25">
      <c r="A201" s="428" t="str">
        <f t="shared" si="25"/>
        <v>10p/kWh, mid capex, high grid</v>
      </c>
      <c r="B201" s="436">
        <v>289600</v>
      </c>
      <c r="C201" s="436">
        <v>261600</v>
      </c>
      <c r="D201" s="436">
        <v>153100</v>
      </c>
      <c r="E201" s="436">
        <v>136300</v>
      </c>
      <c r="F201" s="436">
        <v>191000</v>
      </c>
      <c r="G201" s="436">
        <v>196200</v>
      </c>
      <c r="H201" s="436">
        <v>-44600</v>
      </c>
      <c r="I201" s="436">
        <v>0</v>
      </c>
      <c r="J201" s="436">
        <v>0</v>
      </c>
      <c r="K201" s="436">
        <v>0</v>
      </c>
    </row>
    <row r="202" spans="1:11" x14ac:dyDescent="0.25">
      <c r="A202" s="428" t="str">
        <f t="shared" si="25"/>
        <v>10p/kWh, high capex, high grid</v>
      </c>
      <c r="B202" s="436">
        <v>232800</v>
      </c>
      <c r="C202" s="436">
        <v>204800</v>
      </c>
      <c r="D202" s="436">
        <v>118800</v>
      </c>
      <c r="E202" s="436">
        <v>102000</v>
      </c>
      <c r="F202" s="436">
        <v>156700</v>
      </c>
      <c r="G202" s="436">
        <v>162200</v>
      </c>
      <c r="H202" s="436">
        <v>-101400</v>
      </c>
      <c r="I202" s="436">
        <v>0</v>
      </c>
      <c r="J202" s="436">
        <v>0</v>
      </c>
      <c r="K202" s="436">
        <v>0</v>
      </c>
    </row>
    <row r="203" spans="1:11" x14ac:dyDescent="0.25">
      <c r="A203" s="428" t="str">
        <f t="shared" si="25"/>
        <v>12p/kWh, mid capex, high grid</v>
      </c>
      <c r="B203" s="436">
        <v>415800</v>
      </c>
      <c r="C203" s="436">
        <v>387800</v>
      </c>
      <c r="D203" s="436">
        <v>228800</v>
      </c>
      <c r="E203" s="436">
        <v>212000</v>
      </c>
      <c r="F203" s="436">
        <v>285700</v>
      </c>
      <c r="G203" s="436">
        <v>290800</v>
      </c>
      <c r="H203" s="436">
        <v>50100</v>
      </c>
      <c r="I203" s="436">
        <v>0</v>
      </c>
      <c r="J203" s="436">
        <v>0</v>
      </c>
      <c r="K203" s="436">
        <v>0</v>
      </c>
    </row>
    <row r="204" spans="1:11" x14ac:dyDescent="0.25">
      <c r="A204" s="428" t="str">
        <f t="shared" si="25"/>
        <v>12p/kWh, high capex, high grid</v>
      </c>
      <c r="B204" s="436">
        <v>359000</v>
      </c>
      <c r="C204" s="436">
        <v>331000</v>
      </c>
      <c r="D204" s="436">
        <v>194500</v>
      </c>
      <c r="E204" s="436">
        <v>177700</v>
      </c>
      <c r="F204" s="436">
        <v>251400</v>
      </c>
      <c r="G204" s="436">
        <v>256900</v>
      </c>
      <c r="H204" s="436">
        <v>-6800</v>
      </c>
      <c r="I204" s="436">
        <v>0</v>
      </c>
      <c r="J204" s="436">
        <v>0</v>
      </c>
      <c r="K204" s="436">
        <v>0</v>
      </c>
    </row>
  </sheetData>
  <mergeCells count="3">
    <mergeCell ref="B2:D2"/>
    <mergeCell ref="B3:D3"/>
    <mergeCell ref="F2:G3"/>
  </mergeCells>
  <conditionalFormatting sqref="BB21:BB22 BB29:BB30 BB32:BB34 BB24:BB26 BB37:BB41 BB44">
    <cfRule type="cellIs" dxfId="331" priority="77" stopIfTrue="1" operator="greaterThan">
      <formula>0</formula>
    </cfRule>
  </conditionalFormatting>
  <conditionalFormatting sqref="BB29:XFD30 BB24:XFD27">
    <cfRule type="cellIs" dxfId="330" priority="75" operator="greaterThan">
      <formula>0</formula>
    </cfRule>
  </conditionalFormatting>
  <conditionalFormatting sqref="A49:B49 C25:BA25 C42 C46:BA49 C37:BA39 D19:BA22 D24:BA24 E25:BA27 C29:BA34 D44:BA44 D40:BA40">
    <cfRule type="cellIs" dxfId="329" priority="62" operator="lessThan">
      <formula>0</formula>
    </cfRule>
    <cfRule type="cellIs" dxfId="328" priority="63" operator="greaterThan">
      <formula>0</formula>
    </cfRule>
  </conditionalFormatting>
  <conditionalFormatting sqref="B68:E68">
    <cfRule type="cellIs" dxfId="327" priority="55" operator="lessThan">
      <formula>0</formula>
    </cfRule>
  </conditionalFormatting>
  <conditionalFormatting sqref="C35:BA35">
    <cfRule type="cellIs" dxfId="326" priority="27" operator="lessThan">
      <formula>0</formula>
    </cfRule>
    <cfRule type="cellIs" dxfId="325" priority="28" operator="greaterThan">
      <formula>0</formula>
    </cfRule>
  </conditionalFormatting>
  <conditionalFormatting sqref="BB35">
    <cfRule type="cellIs" dxfId="324" priority="26" stopIfTrue="1" operator="greaterThan">
      <formula>0</formula>
    </cfRule>
  </conditionalFormatting>
  <conditionalFormatting sqref="C50:BA50">
    <cfRule type="cellIs" dxfId="323" priority="10" operator="lessThan">
      <formula>0</formula>
    </cfRule>
    <cfRule type="cellIs" dxfId="322" priority="11" operator="greaterThan">
      <formula>0</formula>
    </cfRule>
  </conditionalFormatting>
  <conditionalFormatting sqref="B42">
    <cfRule type="containsText" dxfId="321" priority="5" operator="containsText" text="err">
      <formula>NOT(ISERROR(SEARCH("err",B42)))</formula>
    </cfRule>
    <cfRule type="containsText" dxfId="320" priority="6" operator="containsText" text="ok">
      <formula>NOT(ISERROR(SEARCH("ok",B42)))</formula>
    </cfRule>
  </conditionalFormatting>
  <conditionalFormatting sqref="BB43">
    <cfRule type="cellIs" dxfId="319" priority="3" stopIfTrue="1" operator="greaterThan">
      <formula>0</formula>
    </cfRule>
  </conditionalFormatting>
  <conditionalFormatting sqref="D43:BA43">
    <cfRule type="cellIs" dxfId="318" priority="1" operator="lessThan">
      <formula>0</formula>
    </cfRule>
    <cfRule type="cellIs" dxfId="317" priority="2" operator="greaterThan">
      <formula>0</formula>
    </cfRule>
  </conditionalFormatting>
  <pageMargins left="0.7" right="0.7" top="0.75" bottom="0.75" header="0.3" footer="0.3"/>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expression" priority="4" id="{C347F75D-86F1-4BCA-AFAB-1E3FAF31D2AA}">
            <xm:f>C$6&gt;'Global assumptions'!$D$7</xm:f>
            <x14:dxf>
              <font>
                <b/>
                <i val="0"/>
                <color rgb="FFC00000"/>
              </font>
            </x14:dxf>
          </x14:cfRule>
          <xm:sqref>C5:BA6</xm:sqref>
        </x14:conditionalFormatting>
      </x14:conditionalFormattings>
    </ext>
    <ext xmlns:x14="http://schemas.microsoft.com/office/spreadsheetml/2009/9/main" uri="{CCE6A557-97BC-4b89-ADB6-D9C93CAAB3DF}">
      <x14:dataValidations xmlns:xm="http://schemas.microsoft.com/office/excel/2006/main" count="2">
        <x14:dataValidation type="list" allowBlank="1" showInputMessage="1" showErrorMessage="1" xr:uid="{665CC48E-EF29-456A-8A2A-0A41DAB9B7E8}">
          <x14:formula1>
            <xm:f>'Costs (by site)'!$E$3:$N$3</xm:f>
          </x14:formula1>
          <xm:sqref>B2</xm:sqref>
        </x14:dataValidation>
        <x14:dataValidation type="list" allowBlank="1" showInputMessage="1" showErrorMessage="1" xr:uid="{C1F31F56-5BCD-42F2-A7FF-6F2A33086D7C}">
          <x14:formula1>
            <xm:f>'Revenue sensitivities'!$E$4:$P$4</xm:f>
          </x14:formula1>
          <xm:sqref>B3:D3</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54CC94-2E91-40DC-B665-8BE7B6564FC4}">
  <sheetPr>
    <tabColor theme="6"/>
  </sheetPr>
  <dimension ref="A1"/>
  <sheetViews>
    <sheetView view="pageBreakPreview" zoomScale="25" zoomScaleNormal="40" zoomScaleSheetLayoutView="25" workbookViewId="0">
      <selection activeCell="Z111" sqref="Z111"/>
    </sheetView>
  </sheetViews>
  <sheetFormatPr defaultRowHeight="13.2" x14ac:dyDescent="0.25"/>
  <cols>
    <col min="1" max="16384" width="8.88671875" style="5"/>
  </cols>
  <sheetData/>
  <pageMargins left="0.7" right="0.7" top="0.75" bottom="0.75" header="0.3" footer="0.3"/>
  <pageSetup paperSize="9" scale="43"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B8DD0-A2BE-41AE-A337-F63C11725304}">
  <sheetPr>
    <tabColor theme="6"/>
  </sheetPr>
  <dimension ref="A1"/>
  <sheetViews>
    <sheetView view="pageBreakPreview" topLeftCell="A10" zoomScale="70" zoomScaleNormal="85" zoomScaleSheetLayoutView="70" workbookViewId="0">
      <selection activeCell="P23" sqref="P23"/>
    </sheetView>
  </sheetViews>
  <sheetFormatPr defaultRowHeight="13.2" x14ac:dyDescent="0.25"/>
  <cols>
    <col min="1" max="16384" width="8.88671875" style="5"/>
  </cols>
  <sheetData/>
  <pageMargins left="0.7" right="0.7" top="0.75" bottom="0.75" header="0.3" footer="0.3"/>
  <pageSetup paperSize="9" orientation="portrait" horizontalDpi="4294967295" verticalDpi="4294967295"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199F0159B7EBAA4085DC7541C864018A" ma:contentTypeVersion="13" ma:contentTypeDescription="Create a new document." ma:contentTypeScope="" ma:versionID="5d4943e81bbbe37a4a7a24f5655e4f0c">
  <xsd:schema xmlns:xsd="http://www.w3.org/2001/XMLSchema" xmlns:xs="http://www.w3.org/2001/XMLSchema" xmlns:p="http://schemas.microsoft.com/office/2006/metadata/properties" xmlns:ns3="723d9241-bb48-4264-aaf8-46619879f73d" xmlns:ns4="d25cc8be-8fec-41b2-80d5-6fb8ae046cf6" targetNamespace="http://schemas.microsoft.com/office/2006/metadata/properties" ma:root="true" ma:fieldsID="67abfa51d909d9a31db6c71096cd6812" ns3:_="" ns4:_="">
    <xsd:import namespace="723d9241-bb48-4264-aaf8-46619879f73d"/>
    <xsd:import namespace="d25cc8be-8fec-41b2-80d5-6fb8ae046cf6"/>
    <xsd:element name="properties">
      <xsd:complexType>
        <xsd:sequence>
          <xsd:element name="documentManagement">
            <xsd:complexType>
              <xsd:all>
                <xsd:element ref="ns3:MediaServiceMetadata" minOccurs="0"/>
                <xsd:element ref="ns3:MediaServiceFastMetadata" minOccurs="0"/>
                <xsd:element ref="ns3:MediaServiceAutoTags" minOccurs="0"/>
                <xsd:element ref="ns3:MediaServiceDateTaken" minOccurs="0"/>
                <xsd:element ref="ns3:MediaServiceGenerationTime" minOccurs="0"/>
                <xsd:element ref="ns3:MediaServiceEventHashCode" minOccurs="0"/>
                <xsd:element ref="ns3:MediaServiceOCR" minOccurs="0"/>
                <xsd:element ref="ns3:MediaServiceAutoKeyPoints" minOccurs="0"/>
                <xsd:element ref="ns3:MediaServiceKeyPoints" minOccurs="0"/>
                <xsd:element ref="ns4:SharedWithUsers" minOccurs="0"/>
                <xsd:element ref="ns4:SharedWithDetails" minOccurs="0"/>
                <xsd:element ref="ns4:SharingHintHash"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23d9241-bb48-4264-aaf8-46619879f73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DateTaken" ma:index="11" nillable="true" ma:displayName="MediaServiceDateTaken" ma:hidden="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25cc8be-8fec-41b2-80d5-6fb8ae046cf6"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SharingHintHash" ma:index="19"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35B9600-87AE-49D9-9B58-2F9A0618D64C}">
  <ds:schemaRefs>
    <ds:schemaRef ds:uri="http://purl.org/dc/elements/1.1/"/>
    <ds:schemaRef ds:uri="http://schemas.microsoft.com/office/2006/metadata/properties"/>
    <ds:schemaRef ds:uri="d25cc8be-8fec-41b2-80d5-6fb8ae046cf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723d9241-bb48-4264-aaf8-46619879f73d"/>
    <ds:schemaRef ds:uri="http://www.w3.org/XML/1998/namespace"/>
    <ds:schemaRef ds:uri="http://purl.org/dc/dcmitype/"/>
  </ds:schemaRefs>
</ds:datastoreItem>
</file>

<file path=customXml/itemProps2.xml><?xml version="1.0" encoding="utf-8"?>
<ds:datastoreItem xmlns:ds="http://schemas.openxmlformats.org/officeDocument/2006/customXml" ds:itemID="{5E379BB6-A3E5-42E5-ABE4-4EFE556240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23d9241-bb48-4264-aaf8-46619879f73d"/>
    <ds:schemaRef ds:uri="d25cc8be-8fec-41b2-80d5-6fb8ae046cf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29B7CA7-53C9-438C-B197-00AB6AD7B10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Index</vt:lpstr>
      <vt:lpstr>User guide</vt:lpstr>
      <vt:lpstr>Global assumptions</vt:lpstr>
      <vt:lpstr>Costs (by site)</vt:lpstr>
      <vt:lpstr>Energy generation (by site)</vt:lpstr>
      <vt:lpstr>Revenue sensitivities</vt:lpstr>
      <vt:lpstr>Cash Flow Model</vt:lpstr>
      <vt:lpstr>Results (Community modelling)</vt:lpstr>
      <vt:lpstr>Results (LA modelling)</vt:lpstr>
      <vt:lpstr>Model Results - tables (draft)</vt:lpstr>
      <vt:lpstr>Loan Rates</vt:lpstr>
      <vt:lpstr>Price indexing</vt:lpstr>
      <vt:lpstr>Irradiance Data (MCS)</vt:lpstr>
      <vt:lpstr>'Results (Community modelling)'!Print_Area</vt:lpstr>
      <vt:lpstr>'Results (LA modelling)'!Print_Area</vt:lpstr>
    </vt:vector>
  </TitlesOfParts>
  <Manager/>
  <Company>Allies and Morrison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peaton</dc:creator>
  <cp:keywords/>
  <dc:description/>
  <cp:lastModifiedBy>Chris</cp:lastModifiedBy>
  <cp:revision/>
  <cp:lastPrinted>2022-01-17T09:48:11Z</cp:lastPrinted>
  <dcterms:created xsi:type="dcterms:W3CDTF">2013-01-02T11:38:08Z</dcterms:created>
  <dcterms:modified xsi:type="dcterms:W3CDTF">2022-01-17T10:02:24Z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0x010100199F0159B7EBAA4085DC7541C864018A</vt:lpwstr>
  </property>
</Properties>
</file>